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15240" windowHeight="4968" tabRatio="576"/>
  </bookViews>
  <sheets>
    <sheet name="businessmodel" sheetId="18" r:id="rId1"/>
    <sheet name="parameters" sheetId="9" r:id="rId2"/>
    <sheet name="rekensheets" sheetId="19" r:id="rId3"/>
    <sheet name="Soort armatuur" sheetId="14" r:id="rId4"/>
  </sheets>
  <calcPr calcId="145621"/>
</workbook>
</file>

<file path=xl/calcChain.xml><?xml version="1.0" encoding="utf-8"?>
<calcChain xmlns="http://schemas.openxmlformats.org/spreadsheetml/2006/main">
  <c r="L49" i="19" l="1"/>
  <c r="K49" i="19"/>
  <c r="D46" i="19"/>
  <c r="E46" i="19"/>
  <c r="F46" i="19"/>
  <c r="G46" i="19"/>
  <c r="H46" i="19"/>
  <c r="I46" i="19"/>
  <c r="J46" i="19"/>
  <c r="K46" i="19"/>
  <c r="M46" i="19"/>
  <c r="N46" i="19"/>
  <c r="D47" i="19"/>
  <c r="E47" i="19"/>
  <c r="F47" i="19"/>
  <c r="G47" i="19"/>
  <c r="H47" i="19"/>
  <c r="I47" i="19"/>
  <c r="J47" i="19"/>
  <c r="M47" i="19"/>
  <c r="N47" i="19"/>
  <c r="D48" i="19"/>
  <c r="E48" i="19"/>
  <c r="F48" i="19"/>
  <c r="G48" i="19"/>
  <c r="H48" i="19"/>
  <c r="I48" i="19"/>
  <c r="J48" i="19"/>
  <c r="M48" i="19"/>
  <c r="N48" i="19"/>
  <c r="D49" i="19"/>
  <c r="E49" i="19"/>
  <c r="F49" i="19"/>
  <c r="G49" i="19"/>
  <c r="H49" i="19"/>
  <c r="I49" i="19"/>
  <c r="J49" i="19"/>
  <c r="M49" i="19"/>
  <c r="N49" i="19"/>
  <c r="D50" i="19"/>
  <c r="E50" i="19"/>
  <c r="F50" i="19"/>
  <c r="G50" i="19"/>
  <c r="H50" i="19"/>
  <c r="I50" i="19"/>
  <c r="J50" i="19"/>
  <c r="K50" i="19"/>
  <c r="M50" i="19"/>
  <c r="N50" i="19"/>
  <c r="D51" i="19"/>
  <c r="E51" i="19"/>
  <c r="F51" i="19"/>
  <c r="G51" i="19"/>
  <c r="H51" i="19"/>
  <c r="I51" i="19"/>
  <c r="J51" i="19"/>
  <c r="M51" i="19"/>
  <c r="N51" i="19"/>
  <c r="D52" i="19"/>
  <c r="E52" i="19"/>
  <c r="F52" i="19"/>
  <c r="G52" i="19"/>
  <c r="H52" i="19"/>
  <c r="I52" i="19"/>
  <c r="J52" i="19"/>
  <c r="L52" i="19"/>
  <c r="M52" i="19"/>
  <c r="N52" i="19"/>
  <c r="D53" i="19"/>
  <c r="E53" i="19"/>
  <c r="F53" i="19"/>
  <c r="G53" i="19"/>
  <c r="H53" i="19"/>
  <c r="I53" i="19"/>
  <c r="J53" i="19"/>
  <c r="M53" i="19"/>
  <c r="N53" i="19"/>
  <c r="D54" i="19"/>
  <c r="E54" i="19"/>
  <c r="F54" i="19"/>
  <c r="G54" i="19"/>
  <c r="H54" i="19"/>
  <c r="I54" i="19"/>
  <c r="J54" i="19"/>
  <c r="K54" i="19"/>
  <c r="L54" i="19"/>
  <c r="M54" i="19"/>
  <c r="N54" i="19"/>
  <c r="D55" i="19"/>
  <c r="E55" i="19"/>
  <c r="F55" i="19"/>
  <c r="G55" i="19"/>
  <c r="H55" i="19"/>
  <c r="I55" i="19"/>
  <c r="J55" i="19"/>
  <c r="M55" i="19"/>
  <c r="N55" i="19"/>
  <c r="E56" i="19"/>
  <c r="F56" i="19"/>
  <c r="G56" i="19"/>
  <c r="H56" i="19"/>
  <c r="I56" i="19"/>
  <c r="J56" i="19"/>
  <c r="L56" i="19"/>
  <c r="M56" i="19"/>
  <c r="N56" i="19"/>
  <c r="D57" i="19"/>
  <c r="E57" i="19"/>
  <c r="F57" i="19"/>
  <c r="G57" i="19"/>
  <c r="H57" i="19"/>
  <c r="I57" i="19"/>
  <c r="J57" i="19"/>
  <c r="M57" i="19"/>
  <c r="N57" i="19"/>
  <c r="D58" i="19"/>
  <c r="F58" i="19"/>
  <c r="G58" i="19"/>
  <c r="H58" i="19"/>
  <c r="I58" i="19"/>
  <c r="J58" i="19"/>
  <c r="K58" i="19"/>
  <c r="L58" i="19"/>
  <c r="M58" i="19"/>
  <c r="N58" i="19"/>
  <c r="D59" i="19"/>
  <c r="E59" i="19"/>
  <c r="F59" i="19"/>
  <c r="G59" i="19"/>
  <c r="H59" i="19"/>
  <c r="I59" i="19"/>
  <c r="J59" i="19"/>
  <c r="L59" i="19"/>
  <c r="M59" i="19"/>
  <c r="N59" i="19"/>
  <c r="D60" i="19"/>
  <c r="E60" i="19"/>
  <c r="F60" i="19"/>
  <c r="G60" i="19"/>
  <c r="H60" i="19"/>
  <c r="I60" i="19"/>
  <c r="J60" i="19"/>
  <c r="L60" i="19"/>
  <c r="M60" i="19"/>
  <c r="N60" i="19"/>
  <c r="D61" i="19"/>
  <c r="E61" i="19"/>
  <c r="G61" i="19"/>
  <c r="H61" i="19"/>
  <c r="I61" i="19"/>
  <c r="J61" i="19"/>
  <c r="L61" i="19"/>
  <c r="M61" i="19"/>
  <c r="N61" i="19"/>
  <c r="D62" i="19"/>
  <c r="E62" i="19"/>
  <c r="F62" i="19"/>
  <c r="H62" i="19"/>
  <c r="I62" i="19"/>
  <c r="J62" i="19"/>
  <c r="K62" i="19"/>
  <c r="M62" i="19"/>
  <c r="N62" i="19"/>
  <c r="D63" i="19"/>
  <c r="E63" i="19"/>
  <c r="F63" i="19"/>
  <c r="G63" i="19"/>
  <c r="H63" i="19"/>
  <c r="I63" i="19"/>
  <c r="J63" i="19"/>
  <c r="L63" i="19"/>
  <c r="M63" i="19"/>
  <c r="N63" i="19"/>
  <c r="D64" i="19"/>
  <c r="E64" i="19"/>
  <c r="F64" i="19"/>
  <c r="G64" i="19"/>
  <c r="H64" i="19"/>
  <c r="I64" i="19"/>
  <c r="J64" i="19"/>
  <c r="M64" i="19"/>
  <c r="N64" i="19"/>
  <c r="D65" i="19"/>
  <c r="E65" i="19"/>
  <c r="F65" i="19"/>
  <c r="G65" i="19"/>
  <c r="H65" i="19"/>
  <c r="I65" i="19"/>
  <c r="J65" i="19"/>
  <c r="K65" i="19"/>
  <c r="L65" i="19"/>
  <c r="M65" i="19"/>
  <c r="N65" i="19"/>
  <c r="D66" i="19"/>
  <c r="E66" i="19"/>
  <c r="F66" i="19"/>
  <c r="G66" i="19"/>
  <c r="H66" i="19"/>
  <c r="I66" i="19"/>
  <c r="J66" i="19"/>
  <c r="K66" i="19"/>
  <c r="L66" i="19"/>
  <c r="M66" i="19"/>
  <c r="N66" i="19"/>
  <c r="E67" i="19"/>
  <c r="F67" i="19"/>
  <c r="G67" i="19"/>
  <c r="H67" i="19"/>
  <c r="J67" i="19"/>
  <c r="M67" i="19"/>
  <c r="N67" i="19"/>
  <c r="D68" i="19"/>
  <c r="E68" i="19"/>
  <c r="F68" i="19"/>
  <c r="G68" i="19"/>
  <c r="H68" i="19"/>
  <c r="I68" i="19"/>
  <c r="J68" i="19"/>
  <c r="L68" i="19"/>
  <c r="M68" i="19"/>
  <c r="N68" i="19"/>
  <c r="D69" i="19"/>
  <c r="E69" i="19"/>
  <c r="F69" i="19"/>
  <c r="G69" i="19"/>
  <c r="H69" i="19"/>
  <c r="I69" i="19"/>
  <c r="J69" i="19"/>
  <c r="K69" i="19"/>
  <c r="L69" i="19"/>
  <c r="M69" i="19"/>
  <c r="N69" i="19"/>
  <c r="D70" i="19"/>
  <c r="E70" i="19"/>
  <c r="F70" i="19"/>
  <c r="G70" i="19"/>
  <c r="H70" i="19"/>
  <c r="I70" i="19"/>
  <c r="J70" i="19"/>
  <c r="K70" i="19"/>
  <c r="M70" i="19"/>
  <c r="N70" i="19"/>
  <c r="D71" i="19"/>
  <c r="E71" i="19"/>
  <c r="F71" i="19"/>
  <c r="G71" i="19"/>
  <c r="H71" i="19"/>
  <c r="I71" i="19"/>
  <c r="J71" i="19"/>
  <c r="L71" i="19"/>
  <c r="M71" i="19"/>
  <c r="N71" i="19"/>
  <c r="D72" i="19"/>
  <c r="F72" i="19"/>
  <c r="G72" i="19"/>
  <c r="H72" i="19"/>
  <c r="I72" i="19"/>
  <c r="J72" i="19"/>
  <c r="M72" i="19"/>
  <c r="N72" i="19"/>
  <c r="D73" i="19"/>
  <c r="E73" i="19"/>
  <c r="F73" i="19"/>
  <c r="G73" i="19"/>
  <c r="H73" i="19"/>
  <c r="I73" i="19"/>
  <c r="J73" i="19"/>
  <c r="K73" i="19"/>
  <c r="L73" i="19"/>
  <c r="M73" i="19"/>
  <c r="N73" i="19"/>
  <c r="D74" i="19"/>
  <c r="E74" i="19"/>
  <c r="F74" i="19"/>
  <c r="G74" i="19"/>
  <c r="H74" i="19"/>
  <c r="I74" i="19"/>
  <c r="J74" i="19"/>
  <c r="K74" i="19"/>
  <c r="L74" i="19"/>
  <c r="M74" i="19"/>
  <c r="N74" i="19"/>
  <c r="D75" i="19"/>
  <c r="E75" i="19"/>
  <c r="F75" i="19"/>
  <c r="G75" i="19"/>
  <c r="H75" i="19"/>
  <c r="I75" i="19"/>
  <c r="J75" i="19"/>
  <c r="M75" i="19"/>
  <c r="N75" i="19"/>
  <c r="D76" i="19"/>
  <c r="E76" i="19"/>
  <c r="F76" i="19"/>
  <c r="G76" i="19"/>
  <c r="H76" i="19"/>
  <c r="I76" i="19"/>
  <c r="J76" i="19"/>
  <c r="L76" i="19"/>
  <c r="M76" i="19"/>
  <c r="N76" i="19"/>
  <c r="D77" i="19"/>
  <c r="E77" i="19"/>
  <c r="F77" i="19"/>
  <c r="G77" i="19"/>
  <c r="H77" i="19"/>
  <c r="I77" i="19"/>
  <c r="J77" i="19"/>
  <c r="K77" i="19"/>
  <c r="L77" i="19"/>
  <c r="M77" i="19"/>
  <c r="N77" i="19"/>
  <c r="D78" i="19"/>
  <c r="E78" i="19"/>
  <c r="G78" i="19"/>
  <c r="H78" i="19"/>
  <c r="I78" i="19"/>
  <c r="J78" i="19"/>
  <c r="K78" i="19"/>
  <c r="M78" i="19"/>
  <c r="E79" i="19"/>
  <c r="F79" i="19"/>
  <c r="H79" i="19"/>
  <c r="I79" i="19"/>
  <c r="J79" i="19"/>
  <c r="L79" i="19"/>
  <c r="M79" i="19"/>
  <c r="N79" i="19"/>
  <c r="D80" i="19"/>
  <c r="E80" i="19"/>
  <c r="F80" i="19"/>
  <c r="G80" i="19"/>
  <c r="H80" i="19"/>
  <c r="I80" i="19"/>
  <c r="J80" i="19"/>
  <c r="M80" i="19"/>
  <c r="N80" i="19"/>
  <c r="D81" i="19"/>
  <c r="E81" i="19"/>
  <c r="F81" i="19"/>
  <c r="G81" i="19"/>
  <c r="H81" i="19"/>
  <c r="I81" i="19"/>
  <c r="J81" i="19"/>
  <c r="K81" i="19"/>
  <c r="L81" i="19"/>
  <c r="M81" i="19"/>
  <c r="N81" i="19"/>
  <c r="D82" i="19"/>
  <c r="E82" i="19"/>
  <c r="F82" i="19"/>
  <c r="G82" i="19"/>
  <c r="H82" i="19"/>
  <c r="I82" i="19"/>
  <c r="J82" i="19"/>
  <c r="L82" i="19"/>
  <c r="M82" i="19"/>
  <c r="N82" i="19"/>
  <c r="D83" i="19"/>
  <c r="E83" i="19"/>
  <c r="F83" i="19"/>
  <c r="G83" i="19"/>
  <c r="H83" i="19"/>
  <c r="I83" i="19"/>
  <c r="J83" i="19"/>
  <c r="M83" i="19"/>
  <c r="N83" i="19"/>
  <c r="D84" i="19"/>
  <c r="E84" i="19"/>
  <c r="F84" i="19"/>
  <c r="G84" i="19"/>
  <c r="H84" i="19"/>
  <c r="I84" i="19"/>
  <c r="J84" i="19"/>
  <c r="L84" i="19"/>
  <c r="M84" i="19"/>
  <c r="N84" i="19"/>
  <c r="C47" i="19"/>
  <c r="C48" i="19"/>
  <c r="C49" i="19"/>
  <c r="C50" i="19"/>
  <c r="C51" i="19"/>
  <c r="C52" i="19"/>
  <c r="C53" i="19"/>
  <c r="C54" i="19"/>
  <c r="C55" i="19"/>
  <c r="C57" i="19"/>
  <c r="C58" i="19"/>
  <c r="C59" i="19"/>
  <c r="C60" i="19"/>
  <c r="C61" i="19"/>
  <c r="C62" i="19"/>
  <c r="C63" i="19"/>
  <c r="C64" i="19"/>
  <c r="C65" i="19"/>
  <c r="C66" i="19"/>
  <c r="C68" i="19"/>
  <c r="C69" i="19"/>
  <c r="C70" i="19"/>
  <c r="C71" i="19"/>
  <c r="C72" i="19"/>
  <c r="C73" i="19"/>
  <c r="C74" i="19"/>
  <c r="C75" i="19"/>
  <c r="C76" i="19"/>
  <c r="C77" i="19"/>
  <c r="C78" i="19"/>
  <c r="C80" i="19"/>
  <c r="C81" i="19"/>
  <c r="C82" i="19"/>
  <c r="C83" i="19"/>
  <c r="C84" i="19"/>
  <c r="C46" i="19"/>
  <c r="L1" i="19"/>
  <c r="M1" i="19"/>
  <c r="N1" i="19"/>
  <c r="D2" i="19"/>
  <c r="E2" i="19"/>
  <c r="F2" i="19"/>
  <c r="G2" i="19"/>
  <c r="H2" i="19"/>
  <c r="I2" i="19"/>
  <c r="J2" i="19"/>
  <c r="K2" i="19"/>
  <c r="L2" i="19"/>
  <c r="M2" i="19"/>
  <c r="N2" i="19"/>
  <c r="D3" i="19"/>
  <c r="E3" i="19"/>
  <c r="F3" i="19"/>
  <c r="G3" i="19"/>
  <c r="H3" i="19"/>
  <c r="I3" i="19"/>
  <c r="J3" i="19"/>
  <c r="K3" i="19"/>
  <c r="L3" i="19"/>
  <c r="M3" i="19"/>
  <c r="N3" i="19"/>
  <c r="D4" i="19"/>
  <c r="E4" i="19"/>
  <c r="F4" i="19"/>
  <c r="G4" i="19"/>
  <c r="H4" i="19"/>
  <c r="I4" i="19"/>
  <c r="J4" i="19"/>
  <c r="K4" i="19"/>
  <c r="L4" i="19"/>
  <c r="M4" i="19"/>
  <c r="N4" i="19"/>
  <c r="D5" i="19"/>
  <c r="E5" i="19"/>
  <c r="F5" i="19"/>
  <c r="G5" i="19"/>
  <c r="H5" i="19"/>
  <c r="I5" i="19"/>
  <c r="J5" i="19"/>
  <c r="K5" i="19"/>
  <c r="L5" i="19"/>
  <c r="M5" i="19"/>
  <c r="N5" i="19"/>
  <c r="D6" i="19"/>
  <c r="E6" i="19"/>
  <c r="F6" i="19"/>
  <c r="G6" i="19"/>
  <c r="H6" i="19"/>
  <c r="I6" i="19"/>
  <c r="J6" i="19"/>
  <c r="K6" i="19"/>
  <c r="L6" i="19"/>
  <c r="M6" i="19"/>
  <c r="N6" i="19"/>
  <c r="D7" i="19"/>
  <c r="E7" i="19"/>
  <c r="F7" i="19"/>
  <c r="G7" i="19"/>
  <c r="H7" i="19"/>
  <c r="I7" i="19"/>
  <c r="J7" i="19"/>
  <c r="K7" i="19"/>
  <c r="L7" i="19"/>
  <c r="M7" i="19"/>
  <c r="N7" i="19"/>
  <c r="D8" i="19"/>
  <c r="E8" i="19"/>
  <c r="F8" i="19"/>
  <c r="G8" i="19"/>
  <c r="H8" i="19"/>
  <c r="I8" i="19"/>
  <c r="J8" i="19"/>
  <c r="K8" i="19"/>
  <c r="L8" i="19"/>
  <c r="M8" i="19"/>
  <c r="N8" i="19"/>
  <c r="D9" i="19"/>
  <c r="E9" i="19"/>
  <c r="F9" i="19"/>
  <c r="G9" i="19"/>
  <c r="H9" i="19"/>
  <c r="I9" i="19"/>
  <c r="J9" i="19"/>
  <c r="K9" i="19"/>
  <c r="L9" i="19"/>
  <c r="M9" i="19"/>
  <c r="N9" i="19"/>
  <c r="D10" i="19"/>
  <c r="E10" i="19"/>
  <c r="F10" i="19"/>
  <c r="G10" i="19"/>
  <c r="H10" i="19"/>
  <c r="I10" i="19"/>
  <c r="J10" i="19"/>
  <c r="K10" i="19"/>
  <c r="L10" i="19"/>
  <c r="M10" i="19"/>
  <c r="N10" i="19"/>
  <c r="D11" i="19"/>
  <c r="E11" i="19"/>
  <c r="F11" i="19"/>
  <c r="G11" i="19"/>
  <c r="H11" i="19"/>
  <c r="I11" i="19"/>
  <c r="J11" i="19"/>
  <c r="K11" i="19"/>
  <c r="L11" i="19"/>
  <c r="M11" i="19"/>
  <c r="N11" i="19"/>
  <c r="D12" i="19"/>
  <c r="E12" i="19"/>
  <c r="F12" i="19"/>
  <c r="G12" i="19"/>
  <c r="H12" i="19"/>
  <c r="I12" i="19"/>
  <c r="J12" i="19"/>
  <c r="K12" i="19"/>
  <c r="L12" i="19"/>
  <c r="M12" i="19"/>
  <c r="N12" i="19"/>
  <c r="D13" i="19"/>
  <c r="E13" i="19"/>
  <c r="F13" i="19"/>
  <c r="G13" i="19"/>
  <c r="H13" i="19"/>
  <c r="I13" i="19"/>
  <c r="J13" i="19"/>
  <c r="K13" i="19"/>
  <c r="L13" i="19"/>
  <c r="M13" i="19"/>
  <c r="N13" i="19"/>
  <c r="D14" i="19"/>
  <c r="E14" i="19"/>
  <c r="F14" i="19"/>
  <c r="G14" i="19"/>
  <c r="H14" i="19"/>
  <c r="I14" i="19"/>
  <c r="J14" i="19"/>
  <c r="K14" i="19"/>
  <c r="L14" i="19"/>
  <c r="M14" i="19"/>
  <c r="N14" i="19"/>
  <c r="D15" i="19"/>
  <c r="E15" i="19"/>
  <c r="F15" i="19"/>
  <c r="G15" i="19"/>
  <c r="H15" i="19"/>
  <c r="I15" i="19"/>
  <c r="J15" i="19"/>
  <c r="K15" i="19"/>
  <c r="L15" i="19"/>
  <c r="M15" i="19"/>
  <c r="N15" i="19"/>
  <c r="D16" i="19"/>
  <c r="E16" i="19"/>
  <c r="F16" i="19"/>
  <c r="G16" i="19"/>
  <c r="H16" i="19"/>
  <c r="I16" i="19"/>
  <c r="J16" i="19"/>
  <c r="K16" i="19"/>
  <c r="L16" i="19"/>
  <c r="M16" i="19"/>
  <c r="N16" i="19"/>
  <c r="D17" i="19"/>
  <c r="E17" i="19"/>
  <c r="F17" i="19"/>
  <c r="G17" i="19"/>
  <c r="H17" i="19"/>
  <c r="I17" i="19"/>
  <c r="J17" i="19"/>
  <c r="K17" i="19"/>
  <c r="L17" i="19"/>
  <c r="M17" i="19"/>
  <c r="N17" i="19"/>
  <c r="D18" i="19"/>
  <c r="E18" i="19"/>
  <c r="F18" i="19"/>
  <c r="G18" i="19"/>
  <c r="H18" i="19"/>
  <c r="I18" i="19"/>
  <c r="J18" i="19"/>
  <c r="K18" i="19"/>
  <c r="L18" i="19"/>
  <c r="M18" i="19"/>
  <c r="N18" i="19"/>
  <c r="D19" i="19"/>
  <c r="E19" i="19"/>
  <c r="F19" i="19"/>
  <c r="G19" i="19"/>
  <c r="H19" i="19"/>
  <c r="I19" i="19"/>
  <c r="J19" i="19"/>
  <c r="K19" i="19"/>
  <c r="L19" i="19"/>
  <c r="M19" i="19"/>
  <c r="N19" i="19"/>
  <c r="D20" i="19"/>
  <c r="E20" i="19"/>
  <c r="F20" i="19"/>
  <c r="G20" i="19"/>
  <c r="H20" i="19"/>
  <c r="I20" i="19"/>
  <c r="J20" i="19"/>
  <c r="K20" i="19"/>
  <c r="L20" i="19"/>
  <c r="M20" i="19"/>
  <c r="N20" i="19"/>
  <c r="D21" i="19"/>
  <c r="E21" i="19"/>
  <c r="F21" i="19"/>
  <c r="G21" i="19"/>
  <c r="H21" i="19"/>
  <c r="I21" i="19"/>
  <c r="J21" i="19"/>
  <c r="K21" i="19"/>
  <c r="L21" i="19"/>
  <c r="M21" i="19"/>
  <c r="N21" i="19"/>
  <c r="D22" i="19"/>
  <c r="E22" i="19"/>
  <c r="F22" i="19"/>
  <c r="G22" i="19"/>
  <c r="H22" i="19"/>
  <c r="I22" i="19"/>
  <c r="J22" i="19"/>
  <c r="K22" i="19"/>
  <c r="L22" i="19"/>
  <c r="M22" i="19"/>
  <c r="N22" i="19"/>
  <c r="D23" i="19"/>
  <c r="E23" i="19"/>
  <c r="F23" i="19"/>
  <c r="G23" i="19"/>
  <c r="H23" i="19"/>
  <c r="I23" i="19"/>
  <c r="J23" i="19"/>
  <c r="K23" i="19"/>
  <c r="L23" i="19"/>
  <c r="M23" i="19"/>
  <c r="N23" i="19"/>
  <c r="D24" i="19"/>
  <c r="E24" i="19"/>
  <c r="F24" i="19"/>
  <c r="G24" i="19"/>
  <c r="H24" i="19"/>
  <c r="I24" i="19"/>
  <c r="J24" i="19"/>
  <c r="K24" i="19"/>
  <c r="L24" i="19"/>
  <c r="M24" i="19"/>
  <c r="N24" i="19"/>
  <c r="D25" i="19"/>
  <c r="E25" i="19"/>
  <c r="F25" i="19"/>
  <c r="G25" i="19"/>
  <c r="H25" i="19"/>
  <c r="I25" i="19"/>
  <c r="J25" i="19"/>
  <c r="K25" i="19"/>
  <c r="L25" i="19"/>
  <c r="M25" i="19"/>
  <c r="N25" i="19"/>
  <c r="D26" i="19"/>
  <c r="E26" i="19"/>
  <c r="F26" i="19"/>
  <c r="G26" i="19"/>
  <c r="H26" i="19"/>
  <c r="I26" i="19"/>
  <c r="J26" i="19"/>
  <c r="K26" i="19"/>
  <c r="L26" i="19"/>
  <c r="M26" i="19"/>
  <c r="N26" i="19"/>
  <c r="D27" i="19"/>
  <c r="E27" i="19"/>
  <c r="F27" i="19"/>
  <c r="G27" i="19"/>
  <c r="H27" i="19"/>
  <c r="I27" i="19"/>
  <c r="J27" i="19"/>
  <c r="K27" i="19"/>
  <c r="L27" i="19"/>
  <c r="M27" i="19"/>
  <c r="N27" i="19"/>
  <c r="D28" i="19"/>
  <c r="E28" i="19"/>
  <c r="F28" i="19"/>
  <c r="G28" i="19"/>
  <c r="H28" i="19"/>
  <c r="I28" i="19"/>
  <c r="J28" i="19"/>
  <c r="K28" i="19"/>
  <c r="L28" i="19"/>
  <c r="M28" i="19"/>
  <c r="N28" i="19"/>
  <c r="D29" i="19"/>
  <c r="E29" i="19"/>
  <c r="F29" i="19"/>
  <c r="G29" i="19"/>
  <c r="H29" i="19"/>
  <c r="I29" i="19"/>
  <c r="J29" i="19"/>
  <c r="K29" i="19"/>
  <c r="L29" i="19"/>
  <c r="M29" i="19"/>
  <c r="N29" i="19"/>
  <c r="D30" i="19"/>
  <c r="E30" i="19"/>
  <c r="F30" i="19"/>
  <c r="G30" i="19"/>
  <c r="H30" i="19"/>
  <c r="I30" i="19"/>
  <c r="J30" i="19"/>
  <c r="K30" i="19"/>
  <c r="L30" i="19"/>
  <c r="M30" i="19"/>
  <c r="N30" i="19"/>
  <c r="D31" i="19"/>
  <c r="E31" i="19"/>
  <c r="F31" i="19"/>
  <c r="G31" i="19"/>
  <c r="H31" i="19"/>
  <c r="I31" i="19"/>
  <c r="J31" i="19"/>
  <c r="K31" i="19"/>
  <c r="L31" i="19"/>
  <c r="M31" i="19"/>
  <c r="N31" i="19"/>
  <c r="D32" i="19"/>
  <c r="E32" i="19"/>
  <c r="F32" i="19"/>
  <c r="G32" i="19"/>
  <c r="H32" i="19"/>
  <c r="I32" i="19"/>
  <c r="J32" i="19"/>
  <c r="K32" i="19"/>
  <c r="L32" i="19"/>
  <c r="M32" i="19"/>
  <c r="N32" i="19"/>
  <c r="D33" i="19"/>
  <c r="E33" i="19"/>
  <c r="F33" i="19"/>
  <c r="G33" i="19"/>
  <c r="H33" i="19"/>
  <c r="I33" i="19"/>
  <c r="J33" i="19"/>
  <c r="K33" i="19"/>
  <c r="L33" i="19"/>
  <c r="M33" i="19"/>
  <c r="N33" i="19"/>
  <c r="D34" i="19"/>
  <c r="E34" i="19"/>
  <c r="F34" i="19"/>
  <c r="G34" i="19"/>
  <c r="H34" i="19"/>
  <c r="I34" i="19"/>
  <c r="J34" i="19"/>
  <c r="K34" i="19"/>
  <c r="L34" i="19"/>
  <c r="M34" i="19"/>
  <c r="N34" i="19"/>
  <c r="D35" i="19"/>
  <c r="E35" i="19"/>
  <c r="F35" i="19"/>
  <c r="G35" i="19"/>
  <c r="H35" i="19"/>
  <c r="I35" i="19"/>
  <c r="J35" i="19"/>
  <c r="K35" i="19"/>
  <c r="L35" i="19"/>
  <c r="M35" i="19"/>
  <c r="N35" i="19"/>
  <c r="D36" i="19"/>
  <c r="E36" i="19"/>
  <c r="F36" i="19"/>
  <c r="G36" i="19"/>
  <c r="H36" i="19"/>
  <c r="I36" i="19"/>
  <c r="J36" i="19"/>
  <c r="K36" i="19"/>
  <c r="L36" i="19"/>
  <c r="M36" i="19"/>
  <c r="N36" i="19"/>
  <c r="D37" i="19"/>
  <c r="E37" i="19"/>
  <c r="F37" i="19"/>
  <c r="G37" i="19"/>
  <c r="H37" i="19"/>
  <c r="I37" i="19"/>
  <c r="J37" i="19"/>
  <c r="K37" i="19"/>
  <c r="L37" i="19"/>
  <c r="M37" i="19"/>
  <c r="N37" i="19"/>
  <c r="D38" i="19"/>
  <c r="E38" i="19"/>
  <c r="F38" i="19"/>
  <c r="G38" i="19"/>
  <c r="H38" i="19"/>
  <c r="I38" i="19"/>
  <c r="J38" i="19"/>
  <c r="K38" i="19"/>
  <c r="L38" i="19"/>
  <c r="M38" i="19"/>
  <c r="N38" i="19"/>
  <c r="D39" i="19"/>
  <c r="E39" i="19"/>
  <c r="F39" i="19"/>
  <c r="G39" i="19"/>
  <c r="H39" i="19"/>
  <c r="I39" i="19"/>
  <c r="J39" i="19"/>
  <c r="K39" i="19"/>
  <c r="L39" i="19"/>
  <c r="M39" i="19"/>
  <c r="N39" i="19"/>
  <c r="D40" i="19"/>
  <c r="E40" i="19"/>
  <c r="F40" i="19"/>
  <c r="G40" i="19"/>
  <c r="H40" i="19"/>
  <c r="I40" i="19"/>
  <c r="J40" i="19"/>
  <c r="K40" i="19"/>
  <c r="L40" i="19"/>
  <c r="M40" i="19"/>
  <c r="N40" i="19"/>
  <c r="D41" i="19"/>
  <c r="E41" i="19"/>
  <c r="F41" i="19"/>
  <c r="G41" i="19"/>
  <c r="H41" i="19"/>
  <c r="I41" i="19"/>
  <c r="J41" i="19"/>
  <c r="K41" i="19"/>
  <c r="L41" i="19"/>
  <c r="M41" i="19"/>
  <c r="N41" i="19"/>
  <c r="C41" i="19"/>
  <c r="C3" i="19"/>
  <c r="C4" i="19"/>
  <c r="C5" i="19"/>
  <c r="C6" i="19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2" i="19"/>
  <c r="M18" i="18"/>
  <c r="M17" i="18"/>
  <c r="J5" i="18"/>
  <c r="J7" i="18" s="1"/>
  <c r="J23" i="18" s="1"/>
  <c r="I7" i="18"/>
  <c r="J45" i="19" s="1"/>
  <c r="G5" i="18"/>
  <c r="G7" i="18" s="1"/>
  <c r="G23" i="18" s="1"/>
  <c r="F22" i="18"/>
  <c r="F5" i="18"/>
  <c r="F7" i="18" s="1"/>
  <c r="G79" i="19" s="1"/>
  <c r="E22" i="18"/>
  <c r="E6" i="18"/>
  <c r="E7" i="18" s="1"/>
  <c r="F61" i="19" s="1"/>
  <c r="D11" i="18"/>
  <c r="D26" i="18" s="1"/>
  <c r="E137" i="19" s="1"/>
  <c r="E138" i="19" s="1"/>
  <c r="E139" i="19" s="1"/>
  <c r="E140" i="19" s="1"/>
  <c r="E141" i="19" s="1"/>
  <c r="E142" i="19" s="1"/>
  <c r="E143" i="19" s="1"/>
  <c r="E144" i="19" s="1"/>
  <c r="E145" i="19" s="1"/>
  <c r="E146" i="19" s="1"/>
  <c r="E147" i="19" s="1"/>
  <c r="E148" i="19" s="1"/>
  <c r="E149" i="19" s="1"/>
  <c r="E150" i="19" s="1"/>
  <c r="E151" i="19" s="1"/>
  <c r="E152" i="19" s="1"/>
  <c r="E153" i="19" s="1"/>
  <c r="E154" i="19" s="1"/>
  <c r="E155" i="19" s="1"/>
  <c r="E156" i="19" s="1"/>
  <c r="E157" i="19" s="1"/>
  <c r="E158" i="19" s="1"/>
  <c r="E159" i="19" s="1"/>
  <c r="E160" i="19" s="1"/>
  <c r="E161" i="19" s="1"/>
  <c r="E162" i="19" s="1"/>
  <c r="E163" i="19" s="1"/>
  <c r="E164" i="19" s="1"/>
  <c r="E165" i="19" s="1"/>
  <c r="E166" i="19" s="1"/>
  <c r="E167" i="19" s="1"/>
  <c r="E168" i="19" s="1"/>
  <c r="E169" i="19" s="1"/>
  <c r="E170" i="19" s="1"/>
  <c r="E171" i="19" s="1"/>
  <c r="E172" i="19" s="1"/>
  <c r="E173" i="19" s="1"/>
  <c r="E174" i="19" s="1"/>
  <c r="E175" i="19" s="1"/>
  <c r="E176" i="19" s="1"/>
  <c r="E11" i="18"/>
  <c r="E26" i="18" s="1"/>
  <c r="F137" i="19" s="1"/>
  <c r="F138" i="19" s="1"/>
  <c r="F139" i="19" s="1"/>
  <c r="F140" i="19" s="1"/>
  <c r="F141" i="19" s="1"/>
  <c r="F142" i="19" s="1"/>
  <c r="F143" i="19" s="1"/>
  <c r="F144" i="19" s="1"/>
  <c r="F145" i="19" s="1"/>
  <c r="F146" i="19" s="1"/>
  <c r="F147" i="19" s="1"/>
  <c r="F148" i="19" s="1"/>
  <c r="F149" i="19" s="1"/>
  <c r="F150" i="19" s="1"/>
  <c r="F151" i="19" s="1"/>
  <c r="F152" i="19" s="1"/>
  <c r="F153" i="19" s="1"/>
  <c r="F154" i="19" s="1"/>
  <c r="F155" i="19" s="1"/>
  <c r="F156" i="19" s="1"/>
  <c r="F157" i="19" s="1"/>
  <c r="F158" i="19" s="1"/>
  <c r="F159" i="19" s="1"/>
  <c r="F160" i="19" s="1"/>
  <c r="F161" i="19" s="1"/>
  <c r="F162" i="19" s="1"/>
  <c r="F163" i="19" s="1"/>
  <c r="F164" i="19" s="1"/>
  <c r="F165" i="19" s="1"/>
  <c r="F166" i="19" s="1"/>
  <c r="F167" i="19" s="1"/>
  <c r="F168" i="19" s="1"/>
  <c r="F169" i="19" s="1"/>
  <c r="F170" i="19" s="1"/>
  <c r="F171" i="19" s="1"/>
  <c r="F172" i="19" s="1"/>
  <c r="F173" i="19" s="1"/>
  <c r="F174" i="19" s="1"/>
  <c r="F175" i="19" s="1"/>
  <c r="F176" i="19" s="1"/>
  <c r="F11" i="18"/>
  <c r="F26" i="18" s="1"/>
  <c r="G137" i="19" s="1"/>
  <c r="G138" i="19" s="1"/>
  <c r="G139" i="19" s="1"/>
  <c r="G140" i="19" s="1"/>
  <c r="G141" i="19" s="1"/>
  <c r="G142" i="19" s="1"/>
  <c r="G143" i="19" s="1"/>
  <c r="G144" i="19" s="1"/>
  <c r="G145" i="19" s="1"/>
  <c r="G146" i="19" s="1"/>
  <c r="G147" i="19" s="1"/>
  <c r="G148" i="19" s="1"/>
  <c r="G149" i="19" s="1"/>
  <c r="G150" i="19" s="1"/>
  <c r="G151" i="19" s="1"/>
  <c r="G152" i="19" s="1"/>
  <c r="G153" i="19" s="1"/>
  <c r="G154" i="19" s="1"/>
  <c r="G155" i="19" s="1"/>
  <c r="G156" i="19" s="1"/>
  <c r="G157" i="19" s="1"/>
  <c r="G158" i="19" s="1"/>
  <c r="G159" i="19" s="1"/>
  <c r="G160" i="19" s="1"/>
  <c r="G161" i="19" s="1"/>
  <c r="G162" i="19" s="1"/>
  <c r="G163" i="19" s="1"/>
  <c r="G164" i="19" s="1"/>
  <c r="G165" i="19" s="1"/>
  <c r="G166" i="19" s="1"/>
  <c r="G167" i="19" s="1"/>
  <c r="G168" i="19" s="1"/>
  <c r="G169" i="19" s="1"/>
  <c r="G170" i="19" s="1"/>
  <c r="G171" i="19" s="1"/>
  <c r="G172" i="19" s="1"/>
  <c r="G173" i="19" s="1"/>
  <c r="G174" i="19" s="1"/>
  <c r="G175" i="19" s="1"/>
  <c r="G176" i="19" s="1"/>
  <c r="G11" i="18"/>
  <c r="G26" i="18" s="1"/>
  <c r="H137" i="19" s="1"/>
  <c r="H138" i="19" s="1"/>
  <c r="H139" i="19" s="1"/>
  <c r="H140" i="19" s="1"/>
  <c r="H141" i="19" s="1"/>
  <c r="H142" i="19" s="1"/>
  <c r="H143" i="19" s="1"/>
  <c r="H144" i="19" s="1"/>
  <c r="H145" i="19" s="1"/>
  <c r="H146" i="19" s="1"/>
  <c r="H147" i="19" s="1"/>
  <c r="H148" i="19" s="1"/>
  <c r="H149" i="19" s="1"/>
  <c r="H150" i="19" s="1"/>
  <c r="H151" i="19" s="1"/>
  <c r="H152" i="19" s="1"/>
  <c r="H153" i="19" s="1"/>
  <c r="H154" i="19" s="1"/>
  <c r="H155" i="19" s="1"/>
  <c r="H156" i="19" s="1"/>
  <c r="H157" i="19" s="1"/>
  <c r="H158" i="19" s="1"/>
  <c r="H159" i="19" s="1"/>
  <c r="H160" i="19" s="1"/>
  <c r="H161" i="19" s="1"/>
  <c r="H162" i="19" s="1"/>
  <c r="H163" i="19" s="1"/>
  <c r="H164" i="19" s="1"/>
  <c r="H165" i="19" s="1"/>
  <c r="H166" i="19" s="1"/>
  <c r="H167" i="19" s="1"/>
  <c r="H168" i="19" s="1"/>
  <c r="H169" i="19" s="1"/>
  <c r="H170" i="19" s="1"/>
  <c r="H171" i="19" s="1"/>
  <c r="H172" i="19" s="1"/>
  <c r="H173" i="19" s="1"/>
  <c r="H174" i="19" s="1"/>
  <c r="H175" i="19" s="1"/>
  <c r="H176" i="19" s="1"/>
  <c r="H11" i="18"/>
  <c r="H26" i="18" s="1"/>
  <c r="I137" i="19" s="1"/>
  <c r="I138" i="19" s="1"/>
  <c r="I139" i="19" s="1"/>
  <c r="I140" i="19" s="1"/>
  <c r="I141" i="19" s="1"/>
  <c r="I142" i="19" s="1"/>
  <c r="I143" i="19" s="1"/>
  <c r="I144" i="19" s="1"/>
  <c r="I145" i="19" s="1"/>
  <c r="I146" i="19" s="1"/>
  <c r="I147" i="19" s="1"/>
  <c r="I148" i="19" s="1"/>
  <c r="I149" i="19" s="1"/>
  <c r="I150" i="19" s="1"/>
  <c r="I151" i="19" s="1"/>
  <c r="I152" i="19" s="1"/>
  <c r="I153" i="19" s="1"/>
  <c r="I154" i="19" s="1"/>
  <c r="I155" i="19" s="1"/>
  <c r="I156" i="19" s="1"/>
  <c r="I157" i="19" s="1"/>
  <c r="I158" i="19" s="1"/>
  <c r="I159" i="19" s="1"/>
  <c r="I160" i="19" s="1"/>
  <c r="I161" i="19" s="1"/>
  <c r="I162" i="19" s="1"/>
  <c r="I163" i="19" s="1"/>
  <c r="I164" i="19" s="1"/>
  <c r="I165" i="19" s="1"/>
  <c r="I166" i="19" s="1"/>
  <c r="I167" i="19" s="1"/>
  <c r="I168" i="19" s="1"/>
  <c r="I169" i="19" s="1"/>
  <c r="I170" i="19" s="1"/>
  <c r="I171" i="19" s="1"/>
  <c r="I172" i="19" s="1"/>
  <c r="I173" i="19" s="1"/>
  <c r="I174" i="19" s="1"/>
  <c r="I175" i="19" s="1"/>
  <c r="I176" i="19" s="1"/>
  <c r="I11" i="18"/>
  <c r="I26" i="18" s="1"/>
  <c r="J137" i="19" s="1"/>
  <c r="J138" i="19" s="1"/>
  <c r="J139" i="19" s="1"/>
  <c r="J140" i="19" s="1"/>
  <c r="J141" i="19" s="1"/>
  <c r="J142" i="19" s="1"/>
  <c r="J143" i="19" s="1"/>
  <c r="J144" i="19" s="1"/>
  <c r="J145" i="19" s="1"/>
  <c r="J146" i="19" s="1"/>
  <c r="J147" i="19" s="1"/>
  <c r="J148" i="19" s="1"/>
  <c r="J149" i="19" s="1"/>
  <c r="J150" i="19" s="1"/>
  <c r="J151" i="19" s="1"/>
  <c r="J152" i="19" s="1"/>
  <c r="J153" i="19" s="1"/>
  <c r="J154" i="19" s="1"/>
  <c r="J155" i="19" s="1"/>
  <c r="J156" i="19" s="1"/>
  <c r="J157" i="19" s="1"/>
  <c r="J158" i="19" s="1"/>
  <c r="J159" i="19" s="1"/>
  <c r="J160" i="19" s="1"/>
  <c r="J161" i="19" s="1"/>
  <c r="J162" i="19" s="1"/>
  <c r="J163" i="19" s="1"/>
  <c r="J164" i="19" s="1"/>
  <c r="J165" i="19" s="1"/>
  <c r="J166" i="19" s="1"/>
  <c r="J167" i="19" s="1"/>
  <c r="J168" i="19" s="1"/>
  <c r="J169" i="19" s="1"/>
  <c r="J170" i="19" s="1"/>
  <c r="J171" i="19" s="1"/>
  <c r="J172" i="19" s="1"/>
  <c r="J173" i="19" s="1"/>
  <c r="J174" i="19" s="1"/>
  <c r="J175" i="19" s="1"/>
  <c r="J176" i="19" s="1"/>
  <c r="J11" i="18"/>
  <c r="J26" i="18" s="1"/>
  <c r="K137" i="19" s="1"/>
  <c r="K138" i="19" s="1"/>
  <c r="K139" i="19" s="1"/>
  <c r="K140" i="19" s="1"/>
  <c r="K141" i="19" s="1"/>
  <c r="K142" i="19" s="1"/>
  <c r="K143" i="19" s="1"/>
  <c r="K144" i="19" s="1"/>
  <c r="K145" i="19" s="1"/>
  <c r="K146" i="19" s="1"/>
  <c r="K147" i="19" s="1"/>
  <c r="K148" i="19" s="1"/>
  <c r="K149" i="19" s="1"/>
  <c r="K150" i="19" s="1"/>
  <c r="K151" i="19" s="1"/>
  <c r="K152" i="19" s="1"/>
  <c r="K153" i="19" s="1"/>
  <c r="K154" i="19" s="1"/>
  <c r="K155" i="19" s="1"/>
  <c r="K156" i="19" s="1"/>
  <c r="K157" i="19" s="1"/>
  <c r="K158" i="19" s="1"/>
  <c r="K159" i="19" s="1"/>
  <c r="K160" i="19" s="1"/>
  <c r="K161" i="19" s="1"/>
  <c r="K162" i="19" s="1"/>
  <c r="K163" i="19" s="1"/>
  <c r="K164" i="19" s="1"/>
  <c r="K165" i="19" s="1"/>
  <c r="K166" i="19" s="1"/>
  <c r="K167" i="19" s="1"/>
  <c r="K168" i="19" s="1"/>
  <c r="K169" i="19" s="1"/>
  <c r="K170" i="19" s="1"/>
  <c r="K171" i="19" s="1"/>
  <c r="K172" i="19" s="1"/>
  <c r="K173" i="19" s="1"/>
  <c r="K174" i="19" s="1"/>
  <c r="K175" i="19" s="1"/>
  <c r="K176" i="19" s="1"/>
  <c r="K11" i="18"/>
  <c r="K26" i="18" s="1"/>
  <c r="L137" i="19" s="1"/>
  <c r="L138" i="19" s="1"/>
  <c r="L139" i="19" s="1"/>
  <c r="L140" i="19" s="1"/>
  <c r="L141" i="19" s="1"/>
  <c r="L142" i="19" s="1"/>
  <c r="L143" i="19" s="1"/>
  <c r="L144" i="19" s="1"/>
  <c r="L145" i="19" s="1"/>
  <c r="L146" i="19" s="1"/>
  <c r="L147" i="19" s="1"/>
  <c r="L148" i="19" s="1"/>
  <c r="L149" i="19" s="1"/>
  <c r="L150" i="19" s="1"/>
  <c r="L151" i="19" s="1"/>
  <c r="L152" i="19" s="1"/>
  <c r="L153" i="19" s="1"/>
  <c r="L154" i="19" s="1"/>
  <c r="L155" i="19" s="1"/>
  <c r="L156" i="19" s="1"/>
  <c r="L157" i="19" s="1"/>
  <c r="L158" i="19" s="1"/>
  <c r="L159" i="19" s="1"/>
  <c r="L160" i="19" s="1"/>
  <c r="L161" i="19" s="1"/>
  <c r="L162" i="19" s="1"/>
  <c r="L163" i="19" s="1"/>
  <c r="L164" i="19" s="1"/>
  <c r="L165" i="19" s="1"/>
  <c r="L166" i="19" s="1"/>
  <c r="L167" i="19" s="1"/>
  <c r="L168" i="19" s="1"/>
  <c r="L169" i="19" s="1"/>
  <c r="L170" i="19" s="1"/>
  <c r="L171" i="19" s="1"/>
  <c r="L172" i="19" s="1"/>
  <c r="L173" i="19" s="1"/>
  <c r="L174" i="19" s="1"/>
  <c r="L175" i="19" s="1"/>
  <c r="L176" i="19" s="1"/>
  <c r="L11" i="18"/>
  <c r="L26" i="18" s="1"/>
  <c r="M137" i="19" s="1"/>
  <c r="M138" i="19" s="1"/>
  <c r="M139" i="19" s="1"/>
  <c r="M140" i="19" s="1"/>
  <c r="M141" i="19" s="1"/>
  <c r="M142" i="19" s="1"/>
  <c r="M143" i="19" s="1"/>
  <c r="M144" i="19" s="1"/>
  <c r="M145" i="19" s="1"/>
  <c r="M146" i="19" s="1"/>
  <c r="M147" i="19" s="1"/>
  <c r="M148" i="19" s="1"/>
  <c r="M149" i="19" s="1"/>
  <c r="M150" i="19" s="1"/>
  <c r="M151" i="19" s="1"/>
  <c r="M152" i="19" s="1"/>
  <c r="M153" i="19" s="1"/>
  <c r="M154" i="19" s="1"/>
  <c r="M155" i="19" s="1"/>
  <c r="M156" i="19" s="1"/>
  <c r="M157" i="19" s="1"/>
  <c r="M158" i="19" s="1"/>
  <c r="M159" i="19" s="1"/>
  <c r="M160" i="19" s="1"/>
  <c r="M161" i="19" s="1"/>
  <c r="M162" i="19" s="1"/>
  <c r="M163" i="19" s="1"/>
  <c r="M164" i="19" s="1"/>
  <c r="M165" i="19" s="1"/>
  <c r="M166" i="19" s="1"/>
  <c r="M167" i="19" s="1"/>
  <c r="M168" i="19" s="1"/>
  <c r="M169" i="19" s="1"/>
  <c r="M170" i="19" s="1"/>
  <c r="M171" i="19" s="1"/>
  <c r="M172" i="19" s="1"/>
  <c r="M173" i="19" s="1"/>
  <c r="M174" i="19" s="1"/>
  <c r="M175" i="19" s="1"/>
  <c r="M176" i="19" s="1"/>
  <c r="M11" i="18"/>
  <c r="M26" i="18" s="1"/>
  <c r="N137" i="19" s="1"/>
  <c r="N138" i="19" s="1"/>
  <c r="N139" i="19" s="1"/>
  <c r="N140" i="19" s="1"/>
  <c r="N141" i="19" s="1"/>
  <c r="N142" i="19" s="1"/>
  <c r="N143" i="19" s="1"/>
  <c r="N144" i="19" s="1"/>
  <c r="N145" i="19" s="1"/>
  <c r="N146" i="19" s="1"/>
  <c r="N147" i="19" s="1"/>
  <c r="N148" i="19" s="1"/>
  <c r="N149" i="19" s="1"/>
  <c r="N150" i="19" s="1"/>
  <c r="N151" i="19" s="1"/>
  <c r="N152" i="19" s="1"/>
  <c r="N153" i="19" s="1"/>
  <c r="N154" i="19" s="1"/>
  <c r="N155" i="19" s="1"/>
  <c r="N156" i="19" s="1"/>
  <c r="N157" i="19" s="1"/>
  <c r="N158" i="19" s="1"/>
  <c r="N159" i="19" s="1"/>
  <c r="N160" i="19" s="1"/>
  <c r="N161" i="19" s="1"/>
  <c r="N162" i="19" s="1"/>
  <c r="N163" i="19" s="1"/>
  <c r="N164" i="19" s="1"/>
  <c r="N165" i="19" s="1"/>
  <c r="N166" i="19" s="1"/>
  <c r="N167" i="19" s="1"/>
  <c r="N168" i="19" s="1"/>
  <c r="N169" i="19" s="1"/>
  <c r="N170" i="19" s="1"/>
  <c r="N171" i="19" s="1"/>
  <c r="N172" i="19" s="1"/>
  <c r="N173" i="19" s="1"/>
  <c r="N174" i="19" s="1"/>
  <c r="N175" i="19" s="1"/>
  <c r="N176" i="19" s="1"/>
  <c r="D7" i="18"/>
  <c r="D23" i="18" s="1"/>
  <c r="D27" i="18" s="1"/>
  <c r="H7" i="18"/>
  <c r="H33" i="18" s="1"/>
  <c r="K7" i="18"/>
  <c r="K27" i="18" s="1"/>
  <c r="L7" i="18"/>
  <c r="L31" i="18" s="1"/>
  <c r="M7" i="18"/>
  <c r="N45" i="19" s="1"/>
  <c r="I1" i="19"/>
  <c r="J1" i="19"/>
  <c r="K1" i="19"/>
  <c r="C11" i="18"/>
  <c r="C41" i="18" s="1"/>
  <c r="C7" i="18"/>
  <c r="C23" i="18" s="1"/>
  <c r="C27" i="18" s="1"/>
  <c r="B215" i="19"/>
  <c r="B216" i="19"/>
  <c r="B217" i="19"/>
  <c r="B218" i="19"/>
  <c r="B180" i="19"/>
  <c r="B181" i="19"/>
  <c r="B182" i="19"/>
  <c r="B183" i="19"/>
  <c r="B184" i="19"/>
  <c r="B185" i="19"/>
  <c r="B186" i="19"/>
  <c r="B187" i="19"/>
  <c r="B188" i="19"/>
  <c r="B189" i="19"/>
  <c r="B190" i="19"/>
  <c r="B191" i="19"/>
  <c r="B192" i="19"/>
  <c r="B193" i="19"/>
  <c r="B194" i="19"/>
  <c r="B195" i="19"/>
  <c r="B196" i="19"/>
  <c r="B197" i="19"/>
  <c r="B198" i="19"/>
  <c r="B199" i="19"/>
  <c r="B200" i="19"/>
  <c r="B201" i="19"/>
  <c r="B202" i="19"/>
  <c r="B203" i="19"/>
  <c r="B204" i="19"/>
  <c r="B205" i="19"/>
  <c r="B206" i="19"/>
  <c r="B207" i="19"/>
  <c r="B208" i="19"/>
  <c r="B209" i="19"/>
  <c r="B210" i="19"/>
  <c r="B211" i="19"/>
  <c r="B212" i="19"/>
  <c r="B213" i="19"/>
  <c r="B214" i="19"/>
  <c r="B137" i="19"/>
  <c r="B179" i="19" s="1"/>
  <c r="K41" i="18" l="1"/>
  <c r="J41" i="18"/>
  <c r="L41" i="18"/>
  <c r="D41" i="18"/>
  <c r="K45" i="19"/>
  <c r="E72" i="19"/>
  <c r="I45" i="19"/>
  <c r="D79" i="19"/>
  <c r="F78" i="19"/>
  <c r="D56" i="19"/>
  <c r="I41" i="18"/>
  <c r="H45" i="19"/>
  <c r="N78" i="19"/>
  <c r="D67" i="19"/>
  <c r="G62" i="19"/>
  <c r="J27" i="18"/>
  <c r="J28" i="18" s="1"/>
  <c r="H41" i="18"/>
  <c r="G45" i="19"/>
  <c r="G41" i="18"/>
  <c r="F45" i="19"/>
  <c r="K82" i="19"/>
  <c r="F41" i="18"/>
  <c r="M45" i="19"/>
  <c r="E45" i="19"/>
  <c r="I67" i="19"/>
  <c r="E58" i="19"/>
  <c r="M41" i="18"/>
  <c r="E41" i="18"/>
  <c r="L45" i="19"/>
  <c r="D45" i="19"/>
  <c r="L78" i="19"/>
  <c r="L75" i="19"/>
  <c r="L72" i="19"/>
  <c r="L62" i="19"/>
  <c r="L55" i="19"/>
  <c r="L48" i="19"/>
  <c r="L51" i="19"/>
  <c r="L47" i="19"/>
  <c r="L50" i="19"/>
  <c r="L83" i="19"/>
  <c r="L80" i="19"/>
  <c r="L70" i="19"/>
  <c r="L67" i="19"/>
  <c r="L64" i="19"/>
  <c r="L57" i="19"/>
  <c r="L46" i="19"/>
  <c r="L53" i="19"/>
  <c r="K83" i="19"/>
  <c r="K75" i="19"/>
  <c r="K67" i="19"/>
  <c r="K59" i="19"/>
  <c r="K51" i="19"/>
  <c r="K80" i="19"/>
  <c r="K72" i="19"/>
  <c r="K64" i="19"/>
  <c r="K56" i="19"/>
  <c r="K48" i="19"/>
  <c r="K61" i="19"/>
  <c r="K53" i="19"/>
  <c r="K79" i="19"/>
  <c r="K71" i="19"/>
  <c r="K63" i="19"/>
  <c r="K55" i="19"/>
  <c r="K47" i="19"/>
  <c r="K84" i="19"/>
  <c r="K76" i="19"/>
  <c r="K68" i="19"/>
  <c r="K60" i="19"/>
  <c r="K52" i="19"/>
  <c r="K57" i="19"/>
  <c r="L33" i="18"/>
  <c r="M33" i="18"/>
  <c r="L34" i="18"/>
  <c r="L23" i="18"/>
  <c r="L27" i="18" s="1"/>
  <c r="L28" i="18" s="1"/>
  <c r="C26" i="18"/>
  <c r="D137" i="19" s="1"/>
  <c r="D138" i="19" s="1"/>
  <c r="D139" i="19" s="1"/>
  <c r="D140" i="19" s="1"/>
  <c r="D141" i="19" s="1"/>
  <c r="D142" i="19" s="1"/>
  <c r="D143" i="19" s="1"/>
  <c r="D144" i="19" s="1"/>
  <c r="D145" i="19" s="1"/>
  <c r="D146" i="19" s="1"/>
  <c r="D147" i="19" s="1"/>
  <c r="D148" i="19" s="1"/>
  <c r="D149" i="19" s="1"/>
  <c r="D150" i="19" s="1"/>
  <c r="D151" i="19" s="1"/>
  <c r="D152" i="19" s="1"/>
  <c r="D153" i="19" s="1"/>
  <c r="D154" i="19" s="1"/>
  <c r="D155" i="19" s="1"/>
  <c r="D156" i="19" s="1"/>
  <c r="D157" i="19" s="1"/>
  <c r="D158" i="19" s="1"/>
  <c r="D159" i="19" s="1"/>
  <c r="D160" i="19" s="1"/>
  <c r="D161" i="19" s="1"/>
  <c r="D162" i="19" s="1"/>
  <c r="D163" i="19" s="1"/>
  <c r="D164" i="19" s="1"/>
  <c r="D165" i="19" s="1"/>
  <c r="D166" i="19" s="1"/>
  <c r="D167" i="19" s="1"/>
  <c r="D168" i="19" s="1"/>
  <c r="D169" i="19" s="1"/>
  <c r="D170" i="19" s="1"/>
  <c r="D171" i="19" s="1"/>
  <c r="D172" i="19" s="1"/>
  <c r="D173" i="19" s="1"/>
  <c r="D174" i="19" s="1"/>
  <c r="D175" i="19" s="1"/>
  <c r="D176" i="19" s="1"/>
  <c r="C33" i="18"/>
  <c r="L32" i="18"/>
  <c r="D31" i="18"/>
  <c r="K28" i="18"/>
  <c r="K34" i="18"/>
  <c r="I32" i="18"/>
  <c r="I34" i="18"/>
  <c r="I23" i="18"/>
  <c r="I27" i="18" s="1"/>
  <c r="I28" i="18" s="1"/>
  <c r="I31" i="18"/>
  <c r="M32" i="18"/>
  <c r="J34" i="18"/>
  <c r="K33" i="18"/>
  <c r="M31" i="18"/>
  <c r="J33" i="18"/>
  <c r="C31" i="18"/>
  <c r="I33" i="18"/>
  <c r="K32" i="18"/>
  <c r="M27" i="18"/>
  <c r="M28" i="18" s="1"/>
  <c r="J32" i="18"/>
  <c r="K31" i="18"/>
  <c r="M34" i="18"/>
  <c r="J31" i="18"/>
  <c r="H34" i="18"/>
  <c r="H31" i="18"/>
  <c r="H23" i="18"/>
  <c r="H27" i="18" s="1"/>
  <c r="H28" i="18" s="1"/>
  <c r="H32" i="18"/>
  <c r="G32" i="18"/>
  <c r="G31" i="18"/>
  <c r="G34" i="18"/>
  <c r="G27" i="18"/>
  <c r="G28" i="18" s="1"/>
  <c r="G33" i="18"/>
  <c r="F27" i="18"/>
  <c r="F28" i="18" s="1"/>
  <c r="F32" i="18"/>
  <c r="F34" i="18"/>
  <c r="F31" i="18"/>
  <c r="F33" i="18"/>
  <c r="E27" i="18"/>
  <c r="E28" i="18" s="1"/>
  <c r="E32" i="18"/>
  <c r="E33" i="18"/>
  <c r="E31" i="18"/>
  <c r="E34" i="18"/>
  <c r="D32" i="18"/>
  <c r="D28" i="18"/>
  <c r="D33" i="18"/>
  <c r="D34" i="18"/>
  <c r="B235" i="19"/>
  <c r="B236" i="19"/>
  <c r="B237" i="19"/>
  <c r="D1" i="19"/>
  <c r="E1" i="19"/>
  <c r="F1" i="19"/>
  <c r="G1" i="19"/>
  <c r="H1" i="19"/>
  <c r="C1" i="19"/>
  <c r="C34" i="18" l="1"/>
  <c r="C32" i="18"/>
  <c r="C28" i="18"/>
  <c r="B87" i="19" l="1"/>
  <c r="B45" i="19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C96" i="19" s="1"/>
  <c r="B44" i="19"/>
  <c r="B22" i="19"/>
  <c r="B88" i="19" l="1"/>
  <c r="B138" i="19"/>
  <c r="C87" i="19"/>
  <c r="C88" i="19"/>
  <c r="C91" i="19"/>
  <c r="C89" i="19"/>
  <c r="B23" i="19"/>
  <c r="C92" i="19"/>
  <c r="C93" i="19"/>
  <c r="C94" i="19"/>
  <c r="B56" i="19"/>
  <c r="B7" i="18"/>
  <c r="B11" i="18"/>
  <c r="B18" i="18"/>
  <c r="C79" i="19" l="1"/>
  <c r="C56" i="19"/>
  <c r="C97" i="19" s="1"/>
  <c r="C45" i="19"/>
  <c r="C67" i="19"/>
  <c r="B23" i="18"/>
  <c r="B27" i="18" s="1"/>
  <c r="F86" i="19"/>
  <c r="F179" i="19" s="1"/>
  <c r="N86" i="19"/>
  <c r="N179" i="19" s="1"/>
  <c r="G86" i="19"/>
  <c r="G179" i="19" s="1"/>
  <c r="H86" i="19"/>
  <c r="H179" i="19" s="1"/>
  <c r="I86" i="19"/>
  <c r="I179" i="19" s="1"/>
  <c r="J86" i="19"/>
  <c r="J179" i="19" s="1"/>
  <c r="K86" i="19"/>
  <c r="K179" i="19" s="1"/>
  <c r="D86" i="19"/>
  <c r="D179" i="19" s="1"/>
  <c r="L86" i="19"/>
  <c r="L179" i="19" s="1"/>
  <c r="E86" i="19"/>
  <c r="E179" i="19" s="1"/>
  <c r="M86" i="19"/>
  <c r="M179" i="19" s="1"/>
  <c r="B26" i="18"/>
  <c r="C137" i="19" s="1"/>
  <c r="C138" i="19" s="1"/>
  <c r="C139" i="19" s="1"/>
  <c r="C140" i="19" s="1"/>
  <c r="C141" i="19" s="1"/>
  <c r="C142" i="19" s="1"/>
  <c r="C143" i="19" s="1"/>
  <c r="C144" i="19" s="1"/>
  <c r="C145" i="19" s="1"/>
  <c r="C146" i="19" s="1"/>
  <c r="C147" i="19" s="1"/>
  <c r="B41" i="18"/>
  <c r="B89" i="19"/>
  <c r="B139" i="19"/>
  <c r="C86" i="19"/>
  <c r="C95" i="19"/>
  <c r="C90" i="19"/>
  <c r="B57" i="19"/>
  <c r="B24" i="19"/>
  <c r="B31" i="18"/>
  <c r="B33" i="18"/>
  <c r="C184" i="19" l="1"/>
  <c r="C182" i="19"/>
  <c r="C186" i="19"/>
  <c r="C188" i="19"/>
  <c r="C180" i="19"/>
  <c r="C183" i="19"/>
  <c r="C185" i="19"/>
  <c r="C148" i="19"/>
  <c r="C149" i="19" s="1"/>
  <c r="C150" i="19" s="1"/>
  <c r="C151" i="19" s="1"/>
  <c r="C152" i="19" s="1"/>
  <c r="C153" i="19" s="1"/>
  <c r="C154" i="19" s="1"/>
  <c r="C155" i="19" s="1"/>
  <c r="C156" i="19" s="1"/>
  <c r="C157" i="19" s="1"/>
  <c r="C158" i="19" s="1"/>
  <c r="C159" i="19" s="1"/>
  <c r="C160" i="19" s="1"/>
  <c r="C161" i="19" s="1"/>
  <c r="C162" i="19" s="1"/>
  <c r="C163" i="19" s="1"/>
  <c r="C164" i="19" s="1"/>
  <c r="C165" i="19" s="1"/>
  <c r="C166" i="19" s="1"/>
  <c r="C167" i="19" s="1"/>
  <c r="C168" i="19" s="1"/>
  <c r="C169" i="19" s="1"/>
  <c r="C170" i="19" s="1"/>
  <c r="C171" i="19" s="1"/>
  <c r="C172" i="19" s="1"/>
  <c r="C173" i="19" s="1"/>
  <c r="C174" i="19" s="1"/>
  <c r="C175" i="19" s="1"/>
  <c r="C176" i="19" s="1"/>
  <c r="C189" i="19"/>
  <c r="C187" i="19"/>
  <c r="C181" i="19"/>
  <c r="D106" i="19"/>
  <c r="D199" i="19" s="1"/>
  <c r="D99" i="19"/>
  <c r="D192" i="19" s="1"/>
  <c r="D95" i="19"/>
  <c r="D188" i="19" s="1"/>
  <c r="D108" i="19"/>
  <c r="D201" i="19" s="1"/>
  <c r="D93" i="19"/>
  <c r="D186" i="19" s="1"/>
  <c r="D96" i="19"/>
  <c r="D189" i="19" s="1"/>
  <c r="D87" i="19"/>
  <c r="D180" i="19" s="1"/>
  <c r="D88" i="19"/>
  <c r="D181" i="19" s="1"/>
  <c r="D94" i="19"/>
  <c r="D187" i="19" s="1"/>
  <c r="D92" i="19"/>
  <c r="D185" i="19" s="1"/>
  <c r="D97" i="19"/>
  <c r="D190" i="19" s="1"/>
  <c r="D103" i="19"/>
  <c r="D196" i="19" s="1"/>
  <c r="D107" i="19"/>
  <c r="D200" i="19" s="1"/>
  <c r="D98" i="19"/>
  <c r="D191" i="19" s="1"/>
  <c r="D104" i="19"/>
  <c r="D197" i="19" s="1"/>
  <c r="D102" i="19"/>
  <c r="D195" i="19" s="1"/>
  <c r="D91" i="19"/>
  <c r="D184" i="19" s="1"/>
  <c r="D100" i="19"/>
  <c r="D193" i="19" s="1"/>
  <c r="D90" i="19"/>
  <c r="D183" i="19" s="1"/>
  <c r="D89" i="19"/>
  <c r="D182" i="19" s="1"/>
  <c r="D105" i="19"/>
  <c r="D198" i="19" s="1"/>
  <c r="D101" i="19"/>
  <c r="D194" i="19" s="1"/>
  <c r="B32" i="18"/>
  <c r="B28" i="18"/>
  <c r="C179" i="19"/>
  <c r="B34" i="18"/>
  <c r="B25" i="19"/>
  <c r="B90" i="19"/>
  <c r="B140" i="19"/>
  <c r="B58" i="19"/>
  <c r="C98" i="19"/>
  <c r="B26" i="19"/>
  <c r="AG10" i="14"/>
  <c r="O10" i="14"/>
  <c r="O11" i="14"/>
  <c r="Y10" i="14"/>
  <c r="P12" i="14"/>
  <c r="P11" i="14"/>
  <c r="P10" i="14"/>
  <c r="C191" i="19" l="1"/>
  <c r="C190" i="19"/>
  <c r="D132" i="19"/>
  <c r="C38" i="18" s="1"/>
  <c r="E98" i="19"/>
  <c r="E191" i="19" s="1"/>
  <c r="E97" i="19"/>
  <c r="E190" i="19" s="1"/>
  <c r="E88" i="19"/>
  <c r="E181" i="19" s="1"/>
  <c r="E108" i="19"/>
  <c r="E201" i="19" s="1"/>
  <c r="E101" i="19"/>
  <c r="E194" i="19" s="1"/>
  <c r="E107" i="19"/>
  <c r="E200" i="19" s="1"/>
  <c r="D109" i="19"/>
  <c r="D202" i="19" s="1"/>
  <c r="E87" i="19"/>
  <c r="E180" i="19" s="1"/>
  <c r="E89" i="19"/>
  <c r="E182" i="19" s="1"/>
  <c r="E91" i="19"/>
  <c r="E184" i="19" s="1"/>
  <c r="E109" i="19"/>
  <c r="E202" i="19" s="1"/>
  <c r="E106" i="19"/>
  <c r="E199" i="19" s="1"/>
  <c r="E90" i="19"/>
  <c r="E183" i="19" s="1"/>
  <c r="E102" i="19"/>
  <c r="E195" i="19" s="1"/>
  <c r="E103" i="19"/>
  <c r="E196" i="19" s="1"/>
  <c r="E92" i="19"/>
  <c r="E185" i="19" s="1"/>
  <c r="E96" i="19"/>
  <c r="E189" i="19" s="1"/>
  <c r="E105" i="19"/>
  <c r="E198" i="19" s="1"/>
  <c r="D110" i="19"/>
  <c r="D203" i="19" s="1"/>
  <c r="E100" i="19"/>
  <c r="E193" i="19" s="1"/>
  <c r="E104" i="19"/>
  <c r="E197" i="19" s="1"/>
  <c r="E110" i="19"/>
  <c r="E203" i="19" s="1"/>
  <c r="E94" i="19"/>
  <c r="E187" i="19" s="1"/>
  <c r="E93" i="19"/>
  <c r="E186" i="19" s="1"/>
  <c r="E99" i="19"/>
  <c r="E192" i="19" s="1"/>
  <c r="E95" i="19"/>
  <c r="E188" i="19" s="1"/>
  <c r="B91" i="19"/>
  <c r="B141" i="19"/>
  <c r="B59" i="19"/>
  <c r="C99" i="19"/>
  <c r="C192" i="19" s="1"/>
  <c r="B27" i="19"/>
  <c r="AF10" i="14"/>
  <c r="F100" i="19" l="1"/>
  <c r="F193" i="19" s="1"/>
  <c r="F105" i="19"/>
  <c r="F198" i="19" s="1"/>
  <c r="F88" i="19"/>
  <c r="F181" i="19" s="1"/>
  <c r="F90" i="19"/>
  <c r="F183" i="19" s="1"/>
  <c r="D111" i="19"/>
  <c r="D204" i="19" s="1"/>
  <c r="F95" i="19"/>
  <c r="F188" i="19" s="1"/>
  <c r="F94" i="19"/>
  <c r="F187" i="19" s="1"/>
  <c r="E132" i="19"/>
  <c r="D38" i="18" s="1"/>
  <c r="F101" i="19"/>
  <c r="F194" i="19" s="1"/>
  <c r="F97" i="19"/>
  <c r="F190" i="19" s="1"/>
  <c r="F92" i="19"/>
  <c r="F185" i="19" s="1"/>
  <c r="F91" i="19"/>
  <c r="F184" i="19" s="1"/>
  <c r="F87" i="19"/>
  <c r="F180" i="19" s="1"/>
  <c r="F108" i="19"/>
  <c r="F201" i="19" s="1"/>
  <c r="F99" i="19"/>
  <c r="F192" i="19" s="1"/>
  <c r="F110" i="19"/>
  <c r="F203" i="19" s="1"/>
  <c r="F98" i="19"/>
  <c r="F191" i="19" s="1"/>
  <c r="F104" i="19"/>
  <c r="F197" i="19" s="1"/>
  <c r="F103" i="19"/>
  <c r="F196" i="19" s="1"/>
  <c r="F89" i="19"/>
  <c r="F182" i="19" s="1"/>
  <c r="F93" i="19"/>
  <c r="F186" i="19" s="1"/>
  <c r="F107" i="19"/>
  <c r="F200" i="19" s="1"/>
  <c r="F96" i="19"/>
  <c r="F189" i="19" s="1"/>
  <c r="F102" i="19"/>
  <c r="F195" i="19" s="1"/>
  <c r="F106" i="19"/>
  <c r="F199" i="19" s="1"/>
  <c r="F109" i="19"/>
  <c r="F202" i="19" s="1"/>
  <c r="B92" i="19"/>
  <c r="B142" i="19"/>
  <c r="B60" i="19"/>
  <c r="C100" i="19"/>
  <c r="C193" i="19" s="1"/>
  <c r="B28" i="19"/>
  <c r="AA10" i="14"/>
  <c r="G107" i="19" l="1"/>
  <c r="G200" i="19" s="1"/>
  <c r="G94" i="19"/>
  <c r="G187" i="19" s="1"/>
  <c r="G102" i="19"/>
  <c r="G195" i="19" s="1"/>
  <c r="G89" i="19"/>
  <c r="G182" i="19" s="1"/>
  <c r="G104" i="19"/>
  <c r="G197" i="19" s="1"/>
  <c r="G99" i="19"/>
  <c r="G192" i="19" s="1"/>
  <c r="G101" i="19"/>
  <c r="G194" i="19" s="1"/>
  <c r="G95" i="19"/>
  <c r="G188" i="19" s="1"/>
  <c r="G90" i="19"/>
  <c r="G183" i="19" s="1"/>
  <c r="G105" i="19"/>
  <c r="G198" i="19" s="1"/>
  <c r="G96" i="19"/>
  <c r="G189" i="19" s="1"/>
  <c r="G108" i="19"/>
  <c r="G201" i="19" s="1"/>
  <c r="G92" i="19"/>
  <c r="G185" i="19" s="1"/>
  <c r="F132" i="19"/>
  <c r="E38" i="18" s="1"/>
  <c r="E111" i="19"/>
  <c r="E204" i="19" s="1"/>
  <c r="G100" i="19"/>
  <c r="G193" i="19" s="1"/>
  <c r="G98" i="19"/>
  <c r="G191" i="19" s="1"/>
  <c r="G109" i="19"/>
  <c r="G202" i="19" s="1"/>
  <c r="G103" i="19"/>
  <c r="G196" i="19" s="1"/>
  <c r="G87" i="19"/>
  <c r="G180" i="19" s="1"/>
  <c r="D112" i="19"/>
  <c r="D205" i="19" s="1"/>
  <c r="G110" i="19"/>
  <c r="G203" i="19" s="1"/>
  <c r="G88" i="19"/>
  <c r="G181" i="19" s="1"/>
  <c r="G106" i="19"/>
  <c r="G199" i="19" s="1"/>
  <c r="G93" i="19"/>
  <c r="G186" i="19" s="1"/>
  <c r="G91" i="19"/>
  <c r="G184" i="19" s="1"/>
  <c r="G97" i="19"/>
  <c r="G190" i="19" s="1"/>
  <c r="B93" i="19"/>
  <c r="B143" i="19"/>
  <c r="B61" i="19"/>
  <c r="C101" i="19"/>
  <c r="C194" i="19" s="1"/>
  <c r="B29" i="19"/>
  <c r="L11" i="14"/>
  <c r="M11" i="14"/>
  <c r="N11" i="14"/>
  <c r="N10" i="14"/>
  <c r="M10" i="14"/>
  <c r="H98" i="19" l="1"/>
  <c r="H191" i="19" s="1"/>
  <c r="F223" i="19"/>
  <c r="E43" i="18" s="1"/>
  <c r="F224" i="19"/>
  <c r="E44" i="18" s="1"/>
  <c r="H108" i="19"/>
  <c r="H201" i="19" s="1"/>
  <c r="H95" i="19"/>
  <c r="H188" i="19" s="1"/>
  <c r="H104" i="19"/>
  <c r="H197" i="19" s="1"/>
  <c r="H93" i="19"/>
  <c r="H186" i="19" s="1"/>
  <c r="H88" i="19"/>
  <c r="H181" i="19" s="1"/>
  <c r="E112" i="19"/>
  <c r="E205" i="19" s="1"/>
  <c r="H103" i="19"/>
  <c r="H196" i="19" s="1"/>
  <c r="H100" i="19"/>
  <c r="H193" i="19" s="1"/>
  <c r="H96" i="19"/>
  <c r="H189" i="19" s="1"/>
  <c r="H101" i="19"/>
  <c r="H194" i="19" s="1"/>
  <c r="H89" i="19"/>
  <c r="H182" i="19" s="1"/>
  <c r="H94" i="19"/>
  <c r="H187" i="19" s="1"/>
  <c r="H97" i="19"/>
  <c r="H190" i="19" s="1"/>
  <c r="D113" i="19"/>
  <c r="D206" i="19" s="1"/>
  <c r="G132" i="19"/>
  <c r="F38" i="18" s="1"/>
  <c r="H105" i="19"/>
  <c r="H198" i="19" s="1"/>
  <c r="H102" i="19"/>
  <c r="H195" i="19" s="1"/>
  <c r="H110" i="19"/>
  <c r="H203" i="19" s="1"/>
  <c r="H91" i="19"/>
  <c r="H184" i="19" s="1"/>
  <c r="H106" i="19"/>
  <c r="H199" i="19" s="1"/>
  <c r="H87" i="19"/>
  <c r="H180" i="19" s="1"/>
  <c r="H109" i="19"/>
  <c r="H202" i="19" s="1"/>
  <c r="F111" i="19"/>
  <c r="F204" i="19" s="1"/>
  <c r="H92" i="19"/>
  <c r="H185" i="19" s="1"/>
  <c r="H90" i="19"/>
  <c r="H183" i="19" s="1"/>
  <c r="H99" i="19"/>
  <c r="H192" i="19" s="1"/>
  <c r="H107" i="19"/>
  <c r="H200" i="19" s="1"/>
  <c r="B94" i="19"/>
  <c r="B144" i="19"/>
  <c r="B62" i="19"/>
  <c r="C102" i="19"/>
  <c r="C195" i="19" s="1"/>
  <c r="B30" i="19"/>
  <c r="T11" i="14"/>
  <c r="S11" i="14"/>
  <c r="R11" i="14"/>
  <c r="Q11" i="14"/>
  <c r="K11" i="14"/>
  <c r="J11" i="14"/>
  <c r="H11" i="14"/>
  <c r="I11" i="14"/>
  <c r="G11" i="14"/>
  <c r="F11" i="14"/>
  <c r="E11" i="14"/>
  <c r="D11" i="14"/>
  <c r="AE10" i="14"/>
  <c r="AD10" i="14"/>
  <c r="AB10" i="14"/>
  <c r="Z10" i="14"/>
  <c r="X10" i="14"/>
  <c r="W10" i="14"/>
  <c r="V10" i="14"/>
  <c r="U10" i="14"/>
  <c r="T10" i="14"/>
  <c r="S10" i="14"/>
  <c r="R10" i="14"/>
  <c r="Q10" i="14"/>
  <c r="K10" i="14"/>
  <c r="J10" i="14"/>
  <c r="I10" i="14"/>
  <c r="H10" i="14"/>
  <c r="G10" i="14"/>
  <c r="F10" i="14"/>
  <c r="E10" i="14"/>
  <c r="D10" i="14"/>
  <c r="I92" i="19" l="1"/>
  <c r="I185" i="19" s="1"/>
  <c r="I101" i="19"/>
  <c r="I194" i="19" s="1"/>
  <c r="I103" i="19"/>
  <c r="I196" i="19" s="1"/>
  <c r="I107" i="19"/>
  <c r="I200" i="19" s="1"/>
  <c r="I106" i="19"/>
  <c r="I199" i="19" s="1"/>
  <c r="I102" i="19"/>
  <c r="I195" i="19" s="1"/>
  <c r="I97" i="19"/>
  <c r="I190" i="19" s="1"/>
  <c r="I96" i="19"/>
  <c r="I189" i="19" s="1"/>
  <c r="F112" i="19"/>
  <c r="F205" i="19" s="1"/>
  <c r="I104" i="19"/>
  <c r="I197" i="19" s="1"/>
  <c r="I98" i="19"/>
  <c r="I191" i="19" s="1"/>
  <c r="G111" i="19"/>
  <c r="G204" i="19" s="1"/>
  <c r="I99" i="19"/>
  <c r="I192" i="19" s="1"/>
  <c r="I109" i="19"/>
  <c r="I202" i="19" s="1"/>
  <c r="I91" i="19"/>
  <c r="I184" i="19" s="1"/>
  <c r="G223" i="19"/>
  <c r="F43" i="18" s="1"/>
  <c r="G224" i="19"/>
  <c r="F44" i="18" s="1"/>
  <c r="I94" i="19"/>
  <c r="I187" i="19" s="1"/>
  <c r="I88" i="19"/>
  <c r="I181" i="19" s="1"/>
  <c r="I95" i="19"/>
  <c r="I188" i="19" s="1"/>
  <c r="D114" i="19"/>
  <c r="D207" i="19" s="1"/>
  <c r="H132" i="19"/>
  <c r="G38" i="18" s="1"/>
  <c r="I110" i="19"/>
  <c r="I203" i="19" s="1"/>
  <c r="I90" i="19"/>
  <c r="I183" i="19" s="1"/>
  <c r="I87" i="19"/>
  <c r="I180" i="19" s="1"/>
  <c r="E113" i="19"/>
  <c r="E206" i="19" s="1"/>
  <c r="I89" i="19"/>
  <c r="I182" i="19" s="1"/>
  <c r="I100" i="19"/>
  <c r="I193" i="19" s="1"/>
  <c r="I93" i="19"/>
  <c r="I186" i="19" s="1"/>
  <c r="I108" i="19"/>
  <c r="I201" i="19" s="1"/>
  <c r="I105" i="19"/>
  <c r="I198" i="19" s="1"/>
  <c r="B95" i="19"/>
  <c r="B145" i="19"/>
  <c r="B63" i="19"/>
  <c r="C103" i="19"/>
  <c r="C196" i="19" s="1"/>
  <c r="B31" i="19"/>
  <c r="A5" i="14"/>
  <c r="A6" i="14" s="1"/>
  <c r="A7" i="14" s="1"/>
  <c r="A8" i="14" s="1"/>
  <c r="A9" i="14" s="1"/>
  <c r="A10" i="14" s="1"/>
  <c r="A11" i="14" s="1"/>
  <c r="A12" i="14" s="1"/>
  <c r="A14" i="14" s="1"/>
  <c r="D115" i="19" l="1"/>
  <c r="D208" i="19" s="1"/>
  <c r="J89" i="19"/>
  <c r="J182" i="19" s="1"/>
  <c r="J90" i="19"/>
  <c r="J183" i="19" s="1"/>
  <c r="E114" i="19"/>
  <c r="E207" i="19" s="1"/>
  <c r="J109" i="19"/>
  <c r="J202" i="19" s="1"/>
  <c r="J104" i="19"/>
  <c r="J197" i="19" s="1"/>
  <c r="J107" i="19"/>
  <c r="J200" i="19" s="1"/>
  <c r="J101" i="19"/>
  <c r="J194" i="19" s="1"/>
  <c r="J88" i="19"/>
  <c r="J181" i="19" s="1"/>
  <c r="J108" i="19"/>
  <c r="J201" i="19" s="1"/>
  <c r="J99" i="19"/>
  <c r="J192" i="19" s="1"/>
  <c r="G112" i="19"/>
  <c r="G205" i="19" s="1"/>
  <c r="J102" i="19"/>
  <c r="J195" i="19" s="1"/>
  <c r="J105" i="19"/>
  <c r="J198" i="19" s="1"/>
  <c r="J93" i="19"/>
  <c r="J186" i="19" s="1"/>
  <c r="F113" i="19"/>
  <c r="F206" i="19" s="1"/>
  <c r="J110" i="19"/>
  <c r="J203" i="19" s="1"/>
  <c r="J94" i="19"/>
  <c r="J187" i="19" s="1"/>
  <c r="H111" i="19"/>
  <c r="H204" i="19" s="1"/>
  <c r="J96" i="19"/>
  <c r="J189" i="19" s="1"/>
  <c r="J106" i="19"/>
  <c r="J199" i="19" s="1"/>
  <c r="I132" i="19"/>
  <c r="H38" i="18" s="1"/>
  <c r="J100" i="19"/>
  <c r="J193" i="19" s="1"/>
  <c r="J87" i="19"/>
  <c r="J180" i="19" s="1"/>
  <c r="H223" i="19"/>
  <c r="G43" i="18" s="1"/>
  <c r="H224" i="19"/>
  <c r="G44" i="18" s="1"/>
  <c r="J95" i="19"/>
  <c r="J188" i="19" s="1"/>
  <c r="J91" i="19"/>
  <c r="J184" i="19" s="1"/>
  <c r="J98" i="19"/>
  <c r="J191" i="19" s="1"/>
  <c r="J97" i="19"/>
  <c r="J190" i="19" s="1"/>
  <c r="J103" i="19"/>
  <c r="J196" i="19" s="1"/>
  <c r="J92" i="19"/>
  <c r="J185" i="19" s="1"/>
  <c r="E224" i="19"/>
  <c r="D44" i="18" s="1"/>
  <c r="E223" i="19"/>
  <c r="D43" i="18" s="1"/>
  <c r="B96" i="19"/>
  <c r="B146" i="19"/>
  <c r="B64" i="19"/>
  <c r="C104" i="19"/>
  <c r="C197" i="19" s="1"/>
  <c r="B32" i="19"/>
  <c r="G12" i="14"/>
  <c r="T12" i="14"/>
  <c r="S12" i="14"/>
  <c r="R12" i="14"/>
  <c r="Q12" i="14"/>
  <c r="F12" i="14"/>
  <c r="E12" i="14"/>
  <c r="D12" i="14"/>
  <c r="K102" i="19" l="1"/>
  <c r="K195" i="19" s="1"/>
  <c r="K98" i="19"/>
  <c r="K191" i="19" s="1"/>
  <c r="J132" i="19"/>
  <c r="I38" i="18" s="1"/>
  <c r="K96" i="19"/>
  <c r="K189" i="19" s="1"/>
  <c r="K93" i="19"/>
  <c r="K186" i="19" s="1"/>
  <c r="K90" i="19"/>
  <c r="K183" i="19" s="1"/>
  <c r="K103" i="19"/>
  <c r="K196" i="19" s="1"/>
  <c r="K91" i="19"/>
  <c r="K184" i="19" s="1"/>
  <c r="K87" i="19"/>
  <c r="K180" i="19" s="1"/>
  <c r="H112" i="19"/>
  <c r="H205" i="19" s="1"/>
  <c r="K104" i="19"/>
  <c r="K197" i="19" s="1"/>
  <c r="I111" i="19"/>
  <c r="I204" i="19" s="1"/>
  <c r="K105" i="19"/>
  <c r="K198" i="19" s="1"/>
  <c r="K88" i="19"/>
  <c r="K181" i="19" s="1"/>
  <c r="K89" i="19"/>
  <c r="K182" i="19" s="1"/>
  <c r="K100" i="19"/>
  <c r="K193" i="19" s="1"/>
  <c r="K99" i="19"/>
  <c r="K192" i="19" s="1"/>
  <c r="D116" i="19"/>
  <c r="D209" i="19" s="1"/>
  <c r="K110" i="19"/>
  <c r="K203" i="19" s="1"/>
  <c r="K101" i="19"/>
  <c r="K194" i="19" s="1"/>
  <c r="K109" i="19"/>
  <c r="K202" i="19" s="1"/>
  <c r="K92" i="19"/>
  <c r="K185" i="19" s="1"/>
  <c r="K97" i="19"/>
  <c r="K190" i="19" s="1"/>
  <c r="K95" i="19"/>
  <c r="K188" i="19" s="1"/>
  <c r="K106" i="19"/>
  <c r="K199" i="19" s="1"/>
  <c r="K94" i="19"/>
  <c r="K187" i="19" s="1"/>
  <c r="G113" i="19"/>
  <c r="G206" i="19" s="1"/>
  <c r="K108" i="19"/>
  <c r="K201" i="19" s="1"/>
  <c r="K107" i="19"/>
  <c r="K200" i="19" s="1"/>
  <c r="F114" i="19"/>
  <c r="F207" i="19" s="1"/>
  <c r="E115" i="19"/>
  <c r="E208" i="19" s="1"/>
  <c r="B97" i="19"/>
  <c r="B147" i="19"/>
  <c r="B65" i="19"/>
  <c r="C105" i="19"/>
  <c r="C198" i="19" s="1"/>
  <c r="B33" i="19"/>
  <c r="E116" i="19" l="1"/>
  <c r="E209" i="19" s="1"/>
  <c r="L110" i="19"/>
  <c r="L203" i="19" s="1"/>
  <c r="L105" i="19"/>
  <c r="L198" i="19" s="1"/>
  <c r="L104" i="19"/>
  <c r="L197" i="19" s="1"/>
  <c r="L91" i="19"/>
  <c r="L184" i="19" s="1"/>
  <c r="G114" i="19"/>
  <c r="G207" i="19" s="1"/>
  <c r="L94" i="19"/>
  <c r="L187" i="19" s="1"/>
  <c r="L99" i="19"/>
  <c r="L192" i="19" s="1"/>
  <c r="J223" i="19"/>
  <c r="I43" i="18" s="1"/>
  <c r="J224" i="19"/>
  <c r="I44" i="18" s="1"/>
  <c r="L89" i="19"/>
  <c r="L182" i="19" s="1"/>
  <c r="I112" i="19"/>
  <c r="I205" i="19" s="1"/>
  <c r="L103" i="19"/>
  <c r="L196" i="19" s="1"/>
  <c r="L93" i="19"/>
  <c r="L186" i="19" s="1"/>
  <c r="L92" i="19"/>
  <c r="L185" i="19" s="1"/>
  <c r="L107" i="19"/>
  <c r="L200" i="19" s="1"/>
  <c r="L106" i="19"/>
  <c r="L199" i="19" s="1"/>
  <c r="L95" i="19"/>
  <c r="L188" i="19" s="1"/>
  <c r="L109" i="19"/>
  <c r="L202" i="19" s="1"/>
  <c r="L100" i="19"/>
  <c r="L193" i="19" s="1"/>
  <c r="L98" i="19"/>
  <c r="L191" i="19" s="1"/>
  <c r="H113" i="19"/>
  <c r="H206" i="19" s="1"/>
  <c r="L88" i="19"/>
  <c r="L181" i="19" s="1"/>
  <c r="J111" i="19"/>
  <c r="J204" i="19" s="1"/>
  <c r="L90" i="19"/>
  <c r="L183" i="19" s="1"/>
  <c r="F115" i="19"/>
  <c r="F208" i="19" s="1"/>
  <c r="L108" i="19"/>
  <c r="L201" i="19" s="1"/>
  <c r="L97" i="19"/>
  <c r="L190" i="19" s="1"/>
  <c r="L101" i="19"/>
  <c r="L194" i="19" s="1"/>
  <c r="K132" i="19"/>
  <c r="J38" i="18" s="1"/>
  <c r="D117" i="19"/>
  <c r="D210" i="19" s="1"/>
  <c r="L87" i="19"/>
  <c r="L180" i="19" s="1"/>
  <c r="L96" i="19"/>
  <c r="L189" i="19" s="1"/>
  <c r="L102" i="19"/>
  <c r="L195" i="19" s="1"/>
  <c r="L133" i="19"/>
  <c r="K37" i="18" s="1"/>
  <c r="M133" i="19"/>
  <c r="L37" i="18" s="1"/>
  <c r="E133" i="19"/>
  <c r="D37" i="18" s="1"/>
  <c r="I133" i="19"/>
  <c r="H37" i="18" s="1"/>
  <c r="K133" i="19"/>
  <c r="J37" i="18" s="1"/>
  <c r="F133" i="19"/>
  <c r="E37" i="18" s="1"/>
  <c r="D133" i="19"/>
  <c r="C37" i="18" s="1"/>
  <c r="H133" i="19"/>
  <c r="G37" i="18" s="1"/>
  <c r="J133" i="19"/>
  <c r="I37" i="18" s="1"/>
  <c r="N133" i="19"/>
  <c r="M37" i="18" s="1"/>
  <c r="G133" i="19"/>
  <c r="F37" i="18" s="1"/>
  <c r="C224" i="19"/>
  <c r="B44" i="18" s="1"/>
  <c r="C223" i="19"/>
  <c r="B43" i="18" s="1"/>
  <c r="B98" i="19"/>
  <c r="B148" i="19"/>
  <c r="C132" i="19"/>
  <c r="B38" i="18" s="1"/>
  <c r="C133" i="19"/>
  <c r="B37" i="18" s="1"/>
  <c r="B34" i="19"/>
  <c r="B66" i="19"/>
  <c r="C106" i="19"/>
  <c r="C199" i="19" s="1"/>
  <c r="L223" i="19" l="1"/>
  <c r="K43" i="18" s="1"/>
  <c r="L132" i="19"/>
  <c r="K38" i="18" s="1"/>
  <c r="M90" i="19"/>
  <c r="M183" i="19" s="1"/>
  <c r="I113" i="19"/>
  <c r="I206" i="19" s="1"/>
  <c r="K224" i="19"/>
  <c r="J44" i="18" s="1"/>
  <c r="K223" i="19"/>
  <c r="J43" i="18" s="1"/>
  <c r="M103" i="19"/>
  <c r="M196" i="19" s="1"/>
  <c r="M87" i="19"/>
  <c r="M180" i="19" s="1"/>
  <c r="E117" i="19"/>
  <c r="E210" i="19" s="1"/>
  <c r="M109" i="19"/>
  <c r="M202" i="19" s="1"/>
  <c r="M92" i="19"/>
  <c r="M185" i="19" s="1"/>
  <c r="M89" i="19"/>
  <c r="M182" i="19" s="1"/>
  <c r="M105" i="19"/>
  <c r="M198" i="19" s="1"/>
  <c r="D118" i="19"/>
  <c r="D211" i="19" s="1"/>
  <c r="M108" i="19"/>
  <c r="M201" i="19" s="1"/>
  <c r="K111" i="19"/>
  <c r="K204" i="19" s="1"/>
  <c r="M98" i="19"/>
  <c r="M191" i="19" s="1"/>
  <c r="M102" i="19"/>
  <c r="M195" i="19" s="1"/>
  <c r="M95" i="19"/>
  <c r="M188" i="19" s="1"/>
  <c r="M93" i="19"/>
  <c r="M186" i="19" s="1"/>
  <c r="M110" i="19"/>
  <c r="M203" i="19" s="1"/>
  <c r="M106" i="19"/>
  <c r="M199" i="19" s="1"/>
  <c r="M101" i="19"/>
  <c r="M194" i="19" s="1"/>
  <c r="G115" i="19"/>
  <c r="G208" i="19" s="1"/>
  <c r="M88" i="19"/>
  <c r="M181" i="19" s="1"/>
  <c r="M94" i="19"/>
  <c r="M187" i="19" s="1"/>
  <c r="M91" i="19"/>
  <c r="M184" i="19" s="1"/>
  <c r="M100" i="19"/>
  <c r="M193" i="19" s="1"/>
  <c r="M97" i="19"/>
  <c r="M190" i="19" s="1"/>
  <c r="M96" i="19"/>
  <c r="M189" i="19" s="1"/>
  <c r="M107" i="19"/>
  <c r="M200" i="19" s="1"/>
  <c r="J112" i="19"/>
  <c r="J205" i="19" s="1"/>
  <c r="M99" i="19"/>
  <c r="M192" i="19" s="1"/>
  <c r="H114" i="19"/>
  <c r="H207" i="19" s="1"/>
  <c r="M104" i="19"/>
  <c r="M197" i="19" s="1"/>
  <c r="F116" i="19"/>
  <c r="F209" i="19" s="1"/>
  <c r="B35" i="19"/>
  <c r="B99" i="19"/>
  <c r="B149" i="19"/>
  <c r="C107" i="19"/>
  <c r="C200" i="19" s="1"/>
  <c r="B67" i="19"/>
  <c r="L224" i="19" l="1"/>
  <c r="K44" i="18" s="1"/>
  <c r="J113" i="19"/>
  <c r="J206" i="19" s="1"/>
  <c r="D119" i="19"/>
  <c r="D212" i="19" s="1"/>
  <c r="N103" i="19"/>
  <c r="N196" i="19" s="1"/>
  <c r="N90" i="19"/>
  <c r="N183" i="19" s="1"/>
  <c r="N87" i="19"/>
  <c r="N180" i="19" s="1"/>
  <c r="N104" i="19"/>
  <c r="N197" i="19" s="1"/>
  <c r="N107" i="19"/>
  <c r="N200" i="19" s="1"/>
  <c r="N97" i="19"/>
  <c r="N190" i="19" s="1"/>
  <c r="N88" i="19"/>
  <c r="N181" i="19" s="1"/>
  <c r="N108" i="19"/>
  <c r="N201" i="19" s="1"/>
  <c r="N109" i="19"/>
  <c r="N202" i="19" s="1"/>
  <c r="N110" i="19"/>
  <c r="N203" i="19" s="1"/>
  <c r="I114" i="19"/>
  <c r="I207" i="19" s="1"/>
  <c r="N96" i="19"/>
  <c r="N189" i="19" s="1"/>
  <c r="N100" i="19"/>
  <c r="N193" i="19" s="1"/>
  <c r="H115" i="19"/>
  <c r="H208" i="19" s="1"/>
  <c r="N93" i="19"/>
  <c r="N186" i="19" s="1"/>
  <c r="N102" i="19"/>
  <c r="N195" i="19" s="1"/>
  <c r="F117" i="19"/>
  <c r="F210" i="19" s="1"/>
  <c r="N99" i="19"/>
  <c r="N192" i="19" s="1"/>
  <c r="N91" i="19"/>
  <c r="N184" i="19" s="1"/>
  <c r="N101" i="19"/>
  <c r="N194" i="19" s="1"/>
  <c r="N95" i="19"/>
  <c r="N188" i="19" s="1"/>
  <c r="N98" i="19"/>
  <c r="N191" i="19" s="1"/>
  <c r="E118" i="19"/>
  <c r="E211" i="19" s="1"/>
  <c r="N89" i="19"/>
  <c r="N182" i="19" s="1"/>
  <c r="M132" i="19"/>
  <c r="L38" i="18" s="1"/>
  <c r="G116" i="19"/>
  <c r="G209" i="19" s="1"/>
  <c r="K112" i="19"/>
  <c r="K205" i="19" s="1"/>
  <c r="N94" i="19"/>
  <c r="N187" i="19" s="1"/>
  <c r="N106" i="19"/>
  <c r="N199" i="19" s="1"/>
  <c r="L111" i="19"/>
  <c r="L204" i="19" s="1"/>
  <c r="N105" i="19"/>
  <c r="N198" i="19" s="1"/>
  <c r="N92" i="19"/>
  <c r="N185" i="19" s="1"/>
  <c r="B36" i="19"/>
  <c r="B100" i="19"/>
  <c r="B150" i="19"/>
  <c r="B68" i="19"/>
  <c r="C108" i="19"/>
  <c r="C201" i="19" s="1"/>
  <c r="D120" i="19" l="1"/>
  <c r="D213" i="19" s="1"/>
  <c r="M111" i="19"/>
  <c r="M204" i="19" s="1"/>
  <c r="M224" i="19"/>
  <c r="L44" i="18" s="1"/>
  <c r="M223" i="19"/>
  <c r="L43" i="18" s="1"/>
  <c r="G117" i="19"/>
  <c r="G210" i="19" s="1"/>
  <c r="N132" i="19"/>
  <c r="M38" i="18" s="1"/>
  <c r="E119" i="19"/>
  <c r="E212" i="19" s="1"/>
  <c r="L112" i="19"/>
  <c r="L205" i="19" s="1"/>
  <c r="I115" i="19"/>
  <c r="I208" i="19" s="1"/>
  <c r="J114" i="19"/>
  <c r="J207" i="19" s="1"/>
  <c r="K113" i="19"/>
  <c r="K206" i="19" s="1"/>
  <c r="H116" i="19"/>
  <c r="H209" i="19" s="1"/>
  <c r="F118" i="19"/>
  <c r="F211" i="19" s="1"/>
  <c r="B37" i="19"/>
  <c r="B101" i="19"/>
  <c r="B151" i="19"/>
  <c r="B69" i="19"/>
  <c r="C109" i="19"/>
  <c r="C202" i="19" s="1"/>
  <c r="B38" i="19"/>
  <c r="L113" i="19" l="1"/>
  <c r="L206" i="19" s="1"/>
  <c r="I116" i="19"/>
  <c r="I209" i="19" s="1"/>
  <c r="K114" i="19"/>
  <c r="K207" i="19" s="1"/>
  <c r="N223" i="19"/>
  <c r="M43" i="18" s="1"/>
  <c r="N224" i="19"/>
  <c r="M44" i="18" s="1"/>
  <c r="E120" i="19"/>
  <c r="E213" i="19" s="1"/>
  <c r="D122" i="19"/>
  <c r="D215" i="19" s="1"/>
  <c r="F119" i="19"/>
  <c r="F212" i="19" s="1"/>
  <c r="J115" i="19"/>
  <c r="J208" i="19" s="1"/>
  <c r="H117" i="19"/>
  <c r="H210" i="19" s="1"/>
  <c r="M112" i="19"/>
  <c r="M205" i="19" s="1"/>
  <c r="D121" i="19"/>
  <c r="D214" i="19" s="1"/>
  <c r="N111" i="19"/>
  <c r="N204" i="19" s="1"/>
  <c r="G118" i="19"/>
  <c r="G211" i="19" s="1"/>
  <c r="I223" i="19"/>
  <c r="H43" i="18" s="1"/>
  <c r="I224" i="19"/>
  <c r="H44" i="18" s="1"/>
  <c r="D223" i="19"/>
  <c r="C43" i="18" s="1"/>
  <c r="D224" i="19"/>
  <c r="C44" i="18" s="1"/>
  <c r="B102" i="19"/>
  <c r="B152" i="19"/>
  <c r="B70" i="19"/>
  <c r="C110" i="19"/>
  <c r="C203" i="19" s="1"/>
  <c r="B39" i="19"/>
  <c r="H118" i="19" l="1"/>
  <c r="H211" i="19" s="1"/>
  <c r="K115" i="19"/>
  <c r="K208" i="19" s="1"/>
  <c r="G119" i="19"/>
  <c r="G212" i="19" s="1"/>
  <c r="F120" i="19"/>
  <c r="F213" i="19" s="1"/>
  <c r="L114" i="19"/>
  <c r="L207" i="19" s="1"/>
  <c r="D123" i="19"/>
  <c r="D216" i="19" s="1"/>
  <c r="E121" i="19"/>
  <c r="E214" i="19" s="1"/>
  <c r="J116" i="19"/>
  <c r="J209" i="19" s="1"/>
  <c r="I117" i="19"/>
  <c r="I210" i="19" s="1"/>
  <c r="E122" i="19"/>
  <c r="E215" i="19" s="1"/>
  <c r="M113" i="19"/>
  <c r="M206" i="19" s="1"/>
  <c r="N112" i="19"/>
  <c r="N205" i="19" s="1"/>
  <c r="B103" i="19"/>
  <c r="B153" i="19"/>
  <c r="B71" i="19"/>
  <c r="C111" i="19"/>
  <c r="C204" i="19" s="1"/>
  <c r="B40" i="19"/>
  <c r="D124" i="19" l="1"/>
  <c r="D217" i="19" s="1"/>
  <c r="F122" i="19"/>
  <c r="F215" i="19" s="1"/>
  <c r="L115" i="19"/>
  <c r="L208" i="19" s="1"/>
  <c r="M114" i="19"/>
  <c r="M207" i="19" s="1"/>
  <c r="J117" i="19"/>
  <c r="J210" i="19" s="1"/>
  <c r="F121" i="19"/>
  <c r="F214" i="19" s="1"/>
  <c r="G120" i="19"/>
  <c r="G213" i="19" s="1"/>
  <c r="K116" i="19"/>
  <c r="K209" i="19" s="1"/>
  <c r="N113" i="19"/>
  <c r="N206" i="19" s="1"/>
  <c r="E123" i="19"/>
  <c r="E216" i="19" s="1"/>
  <c r="H119" i="19"/>
  <c r="H212" i="19" s="1"/>
  <c r="I118" i="19"/>
  <c r="I211" i="19" s="1"/>
  <c r="B104" i="19"/>
  <c r="B154" i="19"/>
  <c r="B72" i="19"/>
  <c r="C112" i="19"/>
  <c r="C205" i="19" s="1"/>
  <c r="B41" i="19"/>
  <c r="G122" i="19" l="1"/>
  <c r="G215" i="19" s="1"/>
  <c r="I119" i="19"/>
  <c r="I212" i="19" s="1"/>
  <c r="M115" i="19"/>
  <c r="M208" i="19" s="1"/>
  <c r="D125" i="19"/>
  <c r="H120" i="19"/>
  <c r="H213" i="19" s="1"/>
  <c r="G121" i="19"/>
  <c r="G214" i="19" s="1"/>
  <c r="K117" i="19"/>
  <c r="K210" i="19" s="1"/>
  <c r="J118" i="19"/>
  <c r="J211" i="19" s="1"/>
  <c r="L116" i="19"/>
  <c r="L209" i="19" s="1"/>
  <c r="N114" i="19"/>
  <c r="N207" i="19" s="1"/>
  <c r="E124" i="19"/>
  <c r="E217" i="19" s="1"/>
  <c r="F123" i="19"/>
  <c r="F216" i="19" s="1"/>
  <c r="B105" i="19"/>
  <c r="B155" i="19"/>
  <c r="B73" i="19"/>
  <c r="C113" i="19"/>
  <c r="C206" i="19" s="1"/>
  <c r="D129" i="19" l="1"/>
  <c r="C40" i="18" s="1"/>
  <c r="D218" i="19"/>
  <c r="D220" i="19" s="1"/>
  <c r="C45" i="18" s="1"/>
  <c r="M116" i="19"/>
  <c r="M209" i="19" s="1"/>
  <c r="K118" i="19"/>
  <c r="K211" i="19" s="1"/>
  <c r="H122" i="19"/>
  <c r="H215" i="19" s="1"/>
  <c r="F124" i="19"/>
  <c r="F217" i="19" s="1"/>
  <c r="E125" i="19"/>
  <c r="N115" i="19"/>
  <c r="N208" i="19" s="1"/>
  <c r="J119" i="19"/>
  <c r="J212" i="19" s="1"/>
  <c r="L117" i="19"/>
  <c r="L210" i="19" s="1"/>
  <c r="I120" i="19"/>
  <c r="I213" i="19" s="1"/>
  <c r="G123" i="19"/>
  <c r="G216" i="19" s="1"/>
  <c r="H121" i="19"/>
  <c r="H214" i="19" s="1"/>
  <c r="B106" i="19"/>
  <c r="B156" i="19"/>
  <c r="B74" i="19"/>
  <c r="C114" i="19"/>
  <c r="C207" i="19" s="1"/>
  <c r="E129" i="19" l="1"/>
  <c r="D40" i="18" s="1"/>
  <c r="E218" i="19"/>
  <c r="E220" i="19" s="1"/>
  <c r="D45" i="18" s="1"/>
  <c r="I121" i="19"/>
  <c r="I214" i="19" s="1"/>
  <c r="K119" i="19"/>
  <c r="K212" i="19" s="1"/>
  <c r="H123" i="19"/>
  <c r="H216" i="19" s="1"/>
  <c r="M117" i="19"/>
  <c r="M210" i="19" s="1"/>
  <c r="G124" i="19"/>
  <c r="G217" i="19" s="1"/>
  <c r="L118" i="19"/>
  <c r="L211" i="19" s="1"/>
  <c r="N116" i="19"/>
  <c r="N209" i="19" s="1"/>
  <c r="F125" i="19"/>
  <c r="F218" i="19" s="1"/>
  <c r="F220" i="19" s="1"/>
  <c r="E45" i="18" s="1"/>
  <c r="J120" i="19"/>
  <c r="J213" i="19" s="1"/>
  <c r="I122" i="19"/>
  <c r="I215" i="19" s="1"/>
  <c r="B107" i="19"/>
  <c r="B157" i="19"/>
  <c r="B75" i="19"/>
  <c r="C115" i="19"/>
  <c r="C208" i="19" s="1"/>
  <c r="M118" i="19" l="1"/>
  <c r="M211" i="19" s="1"/>
  <c r="H124" i="19"/>
  <c r="H217" i="19" s="1"/>
  <c r="J122" i="19"/>
  <c r="J215" i="19" s="1"/>
  <c r="K120" i="19"/>
  <c r="K213" i="19" s="1"/>
  <c r="I123" i="19"/>
  <c r="I216" i="19" s="1"/>
  <c r="F129" i="19"/>
  <c r="E40" i="18" s="1"/>
  <c r="N117" i="19"/>
  <c r="N210" i="19" s="1"/>
  <c r="G125" i="19"/>
  <c r="G218" i="19" s="1"/>
  <c r="G220" i="19" s="1"/>
  <c r="F45" i="18" s="1"/>
  <c r="L119" i="19"/>
  <c r="L212" i="19" s="1"/>
  <c r="J121" i="19"/>
  <c r="J214" i="19" s="1"/>
  <c r="B108" i="19"/>
  <c r="B158" i="19"/>
  <c r="B76" i="19"/>
  <c r="C116" i="19"/>
  <c r="C209" i="19" s="1"/>
  <c r="M119" i="19" l="1"/>
  <c r="M212" i="19" s="1"/>
  <c r="N118" i="19"/>
  <c r="N211" i="19" s="1"/>
  <c r="K122" i="19"/>
  <c r="K215" i="19" s="1"/>
  <c r="K121" i="19"/>
  <c r="K214" i="19" s="1"/>
  <c r="J123" i="19"/>
  <c r="J216" i="19" s="1"/>
  <c r="F221" i="19"/>
  <c r="E46" i="18" s="1"/>
  <c r="I124" i="19"/>
  <c r="I217" i="19" s="1"/>
  <c r="G129" i="19"/>
  <c r="F40" i="18" s="1"/>
  <c r="H125" i="19"/>
  <c r="H218" i="19" s="1"/>
  <c r="H220" i="19" s="1"/>
  <c r="G45" i="18" s="1"/>
  <c r="L120" i="19"/>
  <c r="L213" i="19" s="1"/>
  <c r="B109" i="19"/>
  <c r="B159" i="19"/>
  <c r="B77" i="19"/>
  <c r="C117" i="19"/>
  <c r="C210" i="19" s="1"/>
  <c r="J124" i="19" l="1"/>
  <c r="J217" i="19" s="1"/>
  <c r="G221" i="19"/>
  <c r="F46" i="18" s="1"/>
  <c r="L121" i="19"/>
  <c r="L214" i="19" s="1"/>
  <c r="H129" i="19"/>
  <c r="G40" i="18" s="1"/>
  <c r="M120" i="19"/>
  <c r="M213" i="19" s="1"/>
  <c r="K123" i="19"/>
  <c r="K216" i="19" s="1"/>
  <c r="I125" i="19"/>
  <c r="L122" i="19"/>
  <c r="L215" i="19" s="1"/>
  <c r="N119" i="19"/>
  <c r="N212" i="19" s="1"/>
  <c r="B110" i="19"/>
  <c r="B160" i="19"/>
  <c r="B78" i="19"/>
  <c r="C118" i="19"/>
  <c r="C211" i="19" s="1"/>
  <c r="I129" i="19" l="1"/>
  <c r="H40" i="18" s="1"/>
  <c r="I218" i="19"/>
  <c r="I220" i="19" s="1"/>
  <c r="H45" i="18" s="1"/>
  <c r="M121" i="19"/>
  <c r="M214" i="19" s="1"/>
  <c r="L123" i="19"/>
  <c r="L216" i="19" s="1"/>
  <c r="J125" i="19"/>
  <c r="K124" i="19"/>
  <c r="K217" i="19" s="1"/>
  <c r="M122" i="19"/>
  <c r="M215" i="19" s="1"/>
  <c r="N120" i="19"/>
  <c r="N213" i="19" s="1"/>
  <c r="H221" i="19"/>
  <c r="G46" i="18" s="1"/>
  <c r="B111" i="19"/>
  <c r="B161" i="19"/>
  <c r="B79" i="19"/>
  <c r="C119" i="19"/>
  <c r="C212" i="19" s="1"/>
  <c r="J129" i="19" l="1"/>
  <c r="I40" i="18" s="1"/>
  <c r="J218" i="19"/>
  <c r="J220" i="19" s="1"/>
  <c r="I45" i="18" s="1"/>
  <c r="L124" i="19"/>
  <c r="L217" i="19" s="1"/>
  <c r="M123" i="19"/>
  <c r="M216" i="19" s="1"/>
  <c r="N122" i="19"/>
  <c r="N215" i="19" s="1"/>
  <c r="N121" i="19"/>
  <c r="N214" i="19" s="1"/>
  <c r="K125" i="19"/>
  <c r="K218" i="19" s="1"/>
  <c r="K220" i="19" s="1"/>
  <c r="J45" i="18" s="1"/>
  <c r="B112" i="19"/>
  <c r="B162" i="19"/>
  <c r="B80" i="19"/>
  <c r="C120" i="19"/>
  <c r="C213" i="19" s="1"/>
  <c r="N123" i="19" l="1"/>
  <c r="N216" i="19" s="1"/>
  <c r="M124" i="19"/>
  <c r="M217" i="19" s="1"/>
  <c r="K129" i="19"/>
  <c r="J40" i="18" s="1"/>
  <c r="L125" i="19"/>
  <c r="B113" i="19"/>
  <c r="B163" i="19"/>
  <c r="B81" i="19"/>
  <c r="C121" i="19"/>
  <c r="C214" i="19" s="1"/>
  <c r="L129" i="19" l="1"/>
  <c r="K40" i="18" s="1"/>
  <c r="L218" i="19"/>
  <c r="L220" i="19" s="1"/>
  <c r="K45" i="18" s="1"/>
  <c r="M125" i="19"/>
  <c r="M218" i="19" s="1"/>
  <c r="M220" i="19" s="1"/>
  <c r="L45" i="18" s="1"/>
  <c r="N124" i="19"/>
  <c r="N217" i="19" s="1"/>
  <c r="K221" i="19"/>
  <c r="J46" i="18" s="1"/>
  <c r="B114" i="19"/>
  <c r="B164" i="19"/>
  <c r="B82" i="19"/>
  <c r="C122" i="19"/>
  <c r="C215" i="19" s="1"/>
  <c r="N125" i="19" l="1"/>
  <c r="N218" i="19" s="1"/>
  <c r="N220" i="19" s="1"/>
  <c r="M45" i="18" s="1"/>
  <c r="M129" i="19"/>
  <c r="L40" i="18" s="1"/>
  <c r="J221" i="19"/>
  <c r="I46" i="18" s="1"/>
  <c r="E221" i="19"/>
  <c r="D46" i="18" s="1"/>
  <c r="B115" i="19"/>
  <c r="B165" i="19"/>
  <c r="B83" i="19"/>
  <c r="C123" i="19"/>
  <c r="C216" i="19" s="1"/>
  <c r="M221" i="19" l="1"/>
  <c r="L46" i="18" s="1"/>
  <c r="N129" i="19"/>
  <c r="M40" i="18" s="1"/>
  <c r="B116" i="19"/>
  <c r="B166" i="19"/>
  <c r="B84" i="19"/>
  <c r="C125" i="19" s="1"/>
  <c r="C218" i="19" s="1"/>
  <c r="C124" i="19"/>
  <c r="C217" i="19" s="1"/>
  <c r="C220" i="19" l="1"/>
  <c r="B45" i="18" s="1"/>
  <c r="N221" i="19"/>
  <c r="M46" i="18" s="1"/>
  <c r="G130" i="19"/>
  <c r="F39" i="18" s="1"/>
  <c r="L130" i="19"/>
  <c r="K39" i="18" s="1"/>
  <c r="J130" i="19"/>
  <c r="I39" i="18" s="1"/>
  <c r="H130" i="19"/>
  <c r="G39" i="18" s="1"/>
  <c r="I130" i="19"/>
  <c r="H39" i="18" s="1"/>
  <c r="N130" i="19"/>
  <c r="M39" i="18" s="1"/>
  <c r="M130" i="19"/>
  <c r="L39" i="18" s="1"/>
  <c r="D130" i="19"/>
  <c r="C39" i="18" s="1"/>
  <c r="F130" i="19"/>
  <c r="E39" i="18" s="1"/>
  <c r="K130" i="19"/>
  <c r="J39" i="18" s="1"/>
  <c r="E130" i="19"/>
  <c r="D39" i="18" s="1"/>
  <c r="C221" i="19"/>
  <c r="B46" i="18" s="1"/>
  <c r="B117" i="19"/>
  <c r="B167" i="19"/>
  <c r="C130" i="19"/>
  <c r="B39" i="18" s="1"/>
  <c r="C129" i="19"/>
  <c r="B40" i="18" s="1"/>
  <c r="L221" i="19" l="1"/>
  <c r="K46" i="18" s="1"/>
  <c r="B118" i="19"/>
  <c r="B168" i="19"/>
  <c r="B119" i="19" l="1"/>
  <c r="B169" i="19"/>
  <c r="B120" i="19" l="1"/>
  <c r="B170" i="19"/>
  <c r="I221" i="19" l="1"/>
  <c r="H46" i="18" s="1"/>
  <c r="D221" i="19"/>
  <c r="C46" i="18" s="1"/>
  <c r="B121" i="19"/>
  <c r="B171" i="19"/>
  <c r="B122" i="19" l="1"/>
  <c r="B172" i="19"/>
  <c r="B123" i="19" l="1"/>
  <c r="B173" i="19"/>
  <c r="B124" i="19" l="1"/>
  <c r="B174" i="19"/>
  <c r="B125" i="19" l="1"/>
  <c r="B176" i="19" s="1"/>
  <c r="B175" i="19"/>
</calcChain>
</file>

<file path=xl/sharedStrings.xml><?xml version="1.0" encoding="utf-8"?>
<sst xmlns="http://schemas.openxmlformats.org/spreadsheetml/2006/main" count="235" uniqueCount="180">
  <si>
    <t>€</t>
  </si>
  <si>
    <t>corporatie</t>
  </si>
  <si>
    <t>huurder</t>
  </si>
  <si>
    <t>conventioneel</t>
  </si>
  <si>
    <t>Aantal lichtbronnen per armatuur</t>
  </si>
  <si>
    <t>Lichtbron</t>
  </si>
  <si>
    <t>Systeemvermogen (incl. vsa)</t>
  </si>
  <si>
    <t>Watt</t>
  </si>
  <si>
    <t>Armatuur</t>
  </si>
  <si>
    <t>Aantal (geen e.h.)</t>
  </si>
  <si>
    <t>T26 G13 58W fluorescentie buislamp</t>
  </si>
  <si>
    <t>Opbouwarmatuur wand/plafond 1x 26W conventioneel</t>
  </si>
  <si>
    <t>Balkarmatuur 1x 58W Conventioneel</t>
  </si>
  <si>
    <t>Balkarmatuur 2x 58W Conventioneel</t>
  </si>
  <si>
    <t>TC-D G24d-3 26W compact fluorescentie lamp</t>
  </si>
  <si>
    <t>Opbouwarmatuur rond 1x 32W conventioneel</t>
  </si>
  <si>
    <t>T29R G10q 32W cirkelvorm. fluo. lamp</t>
  </si>
  <si>
    <t>Uur</t>
  </si>
  <si>
    <t>Service levensduur lichtbron</t>
  </si>
  <si>
    <t>Service levensduur vsa</t>
  </si>
  <si>
    <t>Downlight 2x 18W conventioneel</t>
  </si>
  <si>
    <t>TC-D G24d-2 18W compact fluorescentie lamp</t>
  </si>
  <si>
    <t>T16 G5 8W mini fluorescentie lamp</t>
  </si>
  <si>
    <t>Waterdicht armatuur IP65 IK08 1x 58W conventioneel</t>
  </si>
  <si>
    <t>Balkarmatuur 1x 36W Conventioneel</t>
  </si>
  <si>
    <t>Balkarmatuur 2x 36W Conventioneel</t>
  </si>
  <si>
    <t>T26 G13 36W fluorescentie buislamp</t>
  </si>
  <si>
    <t>Balkarmatuur 1x 58W Hoogfrequent</t>
  </si>
  <si>
    <t>Balkarmatuur 2x 58W Hoogfrequent</t>
  </si>
  <si>
    <t>Waterdicht armatuur IP65 IK08 2x 58W conventioneel</t>
  </si>
  <si>
    <t>Minuten</t>
  </si>
  <si>
    <t>Tijdsduur lampvervanging per armatuur</t>
  </si>
  <si>
    <t>LED 25W/830 1900lm</t>
  </si>
  <si>
    <t>Opbouwarmatuur wand/plafond LED 25W</t>
  </si>
  <si>
    <t>LED 16W/830 900lm</t>
  </si>
  <si>
    <t>LED 10W/840 1200lm</t>
  </si>
  <si>
    <t>Opbouwarmatuur wand/plafond LED 16W Bewegingsradar+Draadloos</t>
  </si>
  <si>
    <t>Opbouwarmatuur rond LED 10W IK10 Bewegingsmelder</t>
  </si>
  <si>
    <t>Downlight LED 23W</t>
  </si>
  <si>
    <t>LED 23W/830 1800lm</t>
  </si>
  <si>
    <t>LED 7W/840 840lm</t>
  </si>
  <si>
    <t>LED 40W/840 2850lm</t>
  </si>
  <si>
    <t>LED 48W/840 4250lm</t>
  </si>
  <si>
    <t>Balkarmatuur LED 48W L=1500mm</t>
  </si>
  <si>
    <t>Balkarmatuur LED 29W L=1200mm</t>
  </si>
  <si>
    <t>eigen keuze 2</t>
  </si>
  <si>
    <t>eigen keuze 3</t>
  </si>
  <si>
    <t>eigen keuze 4</t>
  </si>
  <si>
    <t>Nieuwprijs starter netto incl btw /st</t>
  </si>
  <si>
    <t>Nieuwprijs lichtbron netto incl btw /st **</t>
  </si>
  <si>
    <t>hoger dan 50.000 kwh</t>
  </si>
  <si>
    <t>bruto prijs (naar rato piek/dal)</t>
  </si>
  <si>
    <t>tussen 10.000 en 50.000 kwh</t>
  </si>
  <si>
    <t>tot 10.000 kwh</t>
  </si>
  <si>
    <t>soort</t>
  </si>
  <si>
    <t>led</t>
  </si>
  <si>
    <t>eigen keuze</t>
  </si>
  <si>
    <t>Opbouwarmatuur IP54 1x 8W conventioneel (korte tl, rechthoekig armatuur)</t>
  </si>
  <si>
    <t>eenheid</t>
  </si>
  <si>
    <t xml:space="preserve"> </t>
  </si>
  <si>
    <t>** Nettoprijs inclusief btw + marge voor installateur</t>
  </si>
  <si>
    <t>Nieuwprijs armatuur totaal incl btw /st **</t>
  </si>
  <si>
    <t>wie betaalt kosten (dragbox)</t>
  </si>
  <si>
    <t>belasting (2014)</t>
  </si>
  <si>
    <t>btw 21%</t>
  </si>
  <si>
    <t>bij led-armaturen wordt als de lamp stuk gaat het hele armatuur vervangen. Dit is zo verwerkt</t>
  </si>
  <si>
    <t>Hoogfrequent</t>
  </si>
  <si>
    <t>TC-S G23 11W compact fluorescentie lamp</t>
  </si>
  <si>
    <t>TC-S G27 11W compact fluorescentie lamp</t>
  </si>
  <si>
    <t>Opbouwarmatuur IP65 1x 11W conventioneel (compactlamp, rechthoekig armatuur)</t>
  </si>
  <si>
    <t>Opbouwarmatuur IP65 1x 11W hoogfrequent (compactlamp, rechthoekig armatuur)</t>
  </si>
  <si>
    <t>Opbouwarmatuur wand/plafond 1x 18W hoogfrequent (compactlamp)</t>
  </si>
  <si>
    <t>TC-L G11 18W compact fluorescentie lamp</t>
  </si>
  <si>
    <t>Opbouwarmatuur rond LED 10W IK10</t>
  </si>
  <si>
    <r>
      <t xml:space="preserve">Opbouwarmatuur LED </t>
    </r>
    <r>
      <rPr>
        <sz val="10"/>
        <color theme="8" tint="-0.249977111117893"/>
        <rFont val="Arial"/>
        <family val="2"/>
      </rPr>
      <t>7W</t>
    </r>
    <r>
      <rPr>
        <sz val="10"/>
        <rFont val="Arial"/>
        <family val="2"/>
      </rPr>
      <t xml:space="preserve"> IP65 IK10 </t>
    </r>
    <r>
      <rPr>
        <strike/>
        <sz val="10"/>
        <color theme="8" tint="-0.249977111117893"/>
        <rFont val="Arial"/>
        <family val="2"/>
      </rPr>
      <t>compact</t>
    </r>
  </si>
  <si>
    <r>
      <t xml:space="preserve">Opbouwarmatuur LED </t>
    </r>
    <r>
      <rPr>
        <sz val="10"/>
        <color theme="8" tint="-0.249977111117893"/>
        <rFont val="Arial"/>
        <family val="2"/>
      </rPr>
      <t>7W</t>
    </r>
    <r>
      <rPr>
        <sz val="10"/>
        <rFont val="Arial"/>
        <family val="2"/>
      </rPr>
      <t xml:space="preserve"> IP65 IK10 Bewegingsmelder</t>
    </r>
  </si>
  <si>
    <r>
      <t xml:space="preserve">Waterdicht armatuur LED </t>
    </r>
    <r>
      <rPr>
        <sz val="10"/>
        <color theme="8" tint="-0.249977111117893"/>
        <rFont val="Arial"/>
        <family val="2"/>
      </rPr>
      <t>40W</t>
    </r>
    <r>
      <rPr>
        <sz val="10"/>
        <rFont val="Arial"/>
        <family val="2"/>
      </rPr>
      <t xml:space="preserve"> IP65 IK08 L=1500mm</t>
    </r>
  </si>
  <si>
    <t>4 watt led</t>
  </si>
  <si>
    <r>
      <t xml:space="preserve">LED </t>
    </r>
    <r>
      <rPr>
        <sz val="10"/>
        <color theme="8" tint="-0.249977111117893"/>
        <rFont val="Arial"/>
        <family val="2"/>
      </rPr>
      <t>29</t>
    </r>
    <r>
      <rPr>
        <sz val="10"/>
        <rFont val="Arial"/>
        <family val="2"/>
      </rPr>
      <t>W/840 2600lm</t>
    </r>
  </si>
  <si>
    <t>stroomprijzen (dragbox)</t>
  </si>
  <si>
    <t>euro / kwh inclusief btw (wordt overgenomen)</t>
  </si>
  <si>
    <t>De gebruiker kan naar wens de energieprijs bijstellen. Het gaat om de energieprijs die gemiddeld wordt betaald (vaak schijnt verlichting 's avonds, dus veel dauren)</t>
  </si>
  <si>
    <t>installatietijd</t>
  </si>
  <si>
    <t>Afbeelding</t>
  </si>
  <si>
    <t>LED 7W/840 425lm</t>
  </si>
  <si>
    <t>Galerij armatuur LED 7W IK10 IP65, bewegingsmelder + daglichtsensor</t>
  </si>
  <si>
    <t>Opbouwarmatuur wand/plafond LED 35W</t>
  </si>
  <si>
    <t>LED 35W/830 2700lm</t>
  </si>
  <si>
    <t>Opbouwarmatuur opaal plafond 1x 36W conventioneel</t>
  </si>
  <si>
    <t>Opbouwarmatuur beveiliging/deur 18W conventioneel bew.melder</t>
  </si>
  <si>
    <t>Opbouwarmatuur beveiliging/deur LED 7W IK10 IP65, bew.melder + daglichtsensor</t>
  </si>
  <si>
    <t>Nummer</t>
  </si>
  <si>
    <t>Equivalent in led (nummer)</t>
  </si>
  <si>
    <t>22/23</t>
  </si>
  <si>
    <t>25/26</t>
  </si>
  <si>
    <t>19/22/23/25/26/28/29</t>
  </si>
  <si>
    <t>galerij</t>
  </si>
  <si>
    <t>toepassingsgebied</t>
  </si>
  <si>
    <t>Terugverdientijd armatuur o.b.v besparing onderhoud en energiekosten</t>
  </si>
  <si>
    <t>Beschrijving</t>
  </si>
  <si>
    <t>Resultaat</t>
  </si>
  <si>
    <t>Investering en verbruik</t>
  </si>
  <si>
    <t>Investering installatie/arbeid</t>
  </si>
  <si>
    <t xml:space="preserve">Huidige elektriciteitsverbruik </t>
  </si>
  <si>
    <t>Nieuwe elektriciteitsverbruik</t>
  </si>
  <si>
    <t>Verschil elektriciteitsverbruik</t>
  </si>
  <si>
    <t>Huidige onderhouds- en afschrijvingskosten</t>
  </si>
  <si>
    <t>Levensduur lichtbron</t>
  </si>
  <si>
    <t>Lampvervanging na …</t>
  </si>
  <si>
    <t>Gemiddelde onderhoudskosten per jaar</t>
  </si>
  <si>
    <t>Afschrijving armatuur per jaar</t>
  </si>
  <si>
    <t>Nieuwe onderhouds- en afschrijvingskosten</t>
  </si>
  <si>
    <t>Levensduur lichtbron/armatuur</t>
  </si>
  <si>
    <t>Armatuurvervanging na …</t>
  </si>
  <si>
    <t>Afschrijving armatuur</t>
  </si>
  <si>
    <t>Besparing kosten per jaar</t>
  </si>
  <si>
    <t>Besparing corporatie en huurder</t>
  </si>
  <si>
    <t>Terugverdientijden</t>
  </si>
  <si>
    <t xml:space="preserve">Terugverdientijd armatuur o.b.v. besparing onderhoud </t>
  </si>
  <si>
    <t>Terugverdientijd meerinvestering armatuur t.o.v. conventioneel armatuur,  o.b.v. besparing onderhoud</t>
  </si>
  <si>
    <t>Terugverdientijd meerinvestering armatuur o.b.v besparing onderhoud en energiekosten</t>
  </si>
  <si>
    <t>Investering totaal</t>
  </si>
  <si>
    <t>energietarief</t>
  </si>
  <si>
    <t>Investering nieuw huidige techniek</t>
  </si>
  <si>
    <t>CO2-besparing</t>
  </si>
  <si>
    <t>opslag investering voor projectkosten (onderzoek, inkoop, communicatie, …)</t>
  </si>
  <si>
    <t>parameter</t>
  </si>
  <si>
    <t>heeft invloed op</t>
  </si>
  <si>
    <t>besparing energiekosten (hoge energiekosten per kWh --&gt; hoge besparing)</t>
  </si>
  <si>
    <t>totale investering (hoge opslag --&gt; hogere totale investering)</t>
  </si>
  <si>
    <t>disconteringsvoet</t>
  </si>
  <si>
    <t>Parameters voor berekening irr en netto contante waarde</t>
  </si>
  <si>
    <t>Indexering vervanging conventionele armaturen</t>
  </si>
  <si>
    <t>indexering vervanging nieuwe armaturen</t>
  </si>
  <si>
    <t>onderhoud wordt betaald door</t>
  </si>
  <si>
    <t>Parameters voor terugverdientijden zonder rente en indexeringen e.d.</t>
  </si>
  <si>
    <t>indexering onderhoudskosten (lampen en arbeid)</t>
  </si>
  <si>
    <t>Besparing huurder: elektriciteit en (als huurder dit betaalt) vervanging lampen</t>
  </si>
  <si>
    <t>Besparing verhuurder: afschrijving en (als huurder dit betaalt) vervanging lampen</t>
  </si>
  <si>
    <t>20 jaar NCW</t>
  </si>
  <si>
    <t>20 jaar IRR</t>
  </si>
  <si>
    <t>Jaar</t>
  </si>
  <si>
    <t>kasstroom nieuw armatuur</t>
  </si>
  <si>
    <t>investering nieuw armatuur</t>
  </si>
  <si>
    <t>$C$6*(1+parameters!$B$11)^businessmodel!$B$92;0</t>
  </si>
  <si>
    <t>kasstroom verschil</t>
  </si>
  <si>
    <t>restant levensduur bestaande armaturen</t>
  </si>
  <si>
    <t>totale levensduur bestaande armaturen</t>
  </si>
  <si>
    <t>IRR 40 jaar</t>
  </si>
  <si>
    <t>NCW 40 jaar</t>
  </si>
  <si>
    <t>IRR 20 jaar</t>
  </si>
  <si>
    <t>NCW 20 jaar</t>
  </si>
  <si>
    <t>40 jaar NCW</t>
  </si>
  <si>
    <t>40 jaar IRR</t>
  </si>
  <si>
    <t>IRR en netto contante waarden van kasstromen (reguliere kosten min nieuwe kosten)</t>
  </si>
  <si>
    <t>kasstroom conventioneel</t>
  </si>
  <si>
    <t>indexering energielasten</t>
  </si>
  <si>
    <t>kasstroom besparing energie</t>
  </si>
  <si>
    <t>kasstroom verschil met energiebesparing</t>
  </si>
  <si>
    <t>20 jaar MCW met e-besp</t>
  </si>
  <si>
    <t>40 jaar NCW met e-besp</t>
  </si>
  <si>
    <t>Investering nieuw ledarmatuur en andere techniek</t>
  </si>
  <si>
    <t>paragraaf</t>
  </si>
  <si>
    <t>aanlichten van gevels</t>
  </si>
  <si>
    <t>verlichting op parkeerplaatsen buiten</t>
  </si>
  <si>
    <t>toegangsdeuren/achterpadverlichting</t>
  </si>
  <si>
    <t>hoofdingang / entree</t>
  </si>
  <si>
    <t>parkeergarage</t>
  </si>
  <si>
    <t>berging manshoge tussenwanden</t>
  </si>
  <si>
    <t>bergingsgang vol bochten</t>
  </si>
  <si>
    <t>binnengalerij</t>
  </si>
  <si>
    <t>buitengalerij met dimmen</t>
  </si>
  <si>
    <t>entreegebied na hoofdingang</t>
  </si>
  <si>
    <t>trappenhuizen 1</t>
  </si>
  <si>
    <t>trappenhuizen 2</t>
  </si>
  <si>
    <t>20 jaar IRR met e-besp</t>
  </si>
  <si>
    <t>40 jaar IRR met e-besp</t>
  </si>
  <si>
    <t>x</t>
  </si>
  <si>
    <t>aantal branduren</t>
  </si>
  <si>
    <t xml:space="preserve">omschrijving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</si>
</sst>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6" formatCode="&quot;€&quot;\ #,##0;[Red]&quot;€&quot;\ \-#,##0"/>
    <numFmt numFmtId="8" formatCode="&quot;€&quot;\ #,##0.00;[Red]&quot;€&quot;\ \-#,##0.00"/>
    <numFmt numFmtId="43" formatCode="_ * #,##0.00_ ;_ * \-#,##0.00_ ;_ * &quot;-&quot;??_ ;_ @_ "/>
    <numFmt numFmtId="164" formatCode="_ * #,##0_ ;_ * \-#,##0_ ;_ * &quot;-&quot;??_ ;_ @_ "/>
    <numFmt numFmtId="165" formatCode="0.0\ \W"/>
    <numFmt numFmtId="166" formatCode="&quot;€&quot;\ #,##0.00"/>
    <numFmt numFmtId="167" formatCode="#,##0\ &quot;uur&quot;"/>
    <numFmt numFmtId="168" formatCode="#,##0\ &quot;min.&quot;"/>
    <numFmt numFmtId="169" formatCode="#,###\ &quot;kWh per jaar&quot;"/>
    <numFmt numFmtId="170" formatCode="&quot;€&quot;\ #\ &quot;per jaar&quot;"/>
    <numFmt numFmtId="171" formatCode="#.###\ &quot;jaar&quot;"/>
    <numFmt numFmtId="172" formatCode="&quot;€&quot;\ #.##\ &quot;per kWh&quot;"/>
    <numFmt numFmtId="173" formatCode="#,###\ &quot;uur&quot;"/>
    <numFmt numFmtId="174" formatCode="#.#\ &quot;jaar&quot;"/>
    <numFmt numFmtId="175" formatCode="#\ &quot;jaar&quot;"/>
    <numFmt numFmtId="176" formatCode="_ [$€-413]\ * #,##0_ ;_ [$€-413]\ * \-#,##0_ ;_ [$€-413]\ * &quot;-&quot;??_ ;_ @_ "/>
    <numFmt numFmtId="177" formatCode="#\ &quot;kg CO2 per jaar&quot;"/>
    <numFmt numFmtId="178" formatCode="#,##0_ ;\-#,##0\ "/>
    <numFmt numFmtId="179" formatCode="&quot;€&quot;\ #,##0"/>
  </numFmts>
  <fonts count="13">
    <font>
      <sz val="10"/>
      <name val="Arial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8" tint="-0.249977111117893"/>
      <name val="Arial"/>
      <family val="2"/>
    </font>
    <font>
      <strike/>
      <sz val="10"/>
      <color theme="8" tint="-0.249977111117893"/>
      <name val="Arial"/>
      <family val="2"/>
    </font>
    <font>
      <strike/>
      <sz val="10"/>
      <color rgb="FFFF0000"/>
      <name val="Arial"/>
      <family val="2"/>
    </font>
    <font>
      <i/>
      <sz val="8"/>
      <name val="Verdana"/>
      <family val="2"/>
    </font>
    <font>
      <b/>
      <sz val="8"/>
      <name val="Verdana"/>
      <family val="2"/>
    </font>
    <font>
      <sz val="11"/>
      <color theme="1"/>
      <name val="EYInterstate Light"/>
      <family val="2"/>
    </font>
    <font>
      <b/>
      <sz val="11"/>
      <color theme="1"/>
      <name val="EYInterstate Light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0" fillId="0" borderId="0" xfId="0" applyBorder="1"/>
    <xf numFmtId="0" fontId="1" fillId="0" borderId="0" xfId="0" applyFont="1"/>
    <xf numFmtId="0" fontId="1" fillId="0" borderId="0" xfId="0" applyFont="1" applyBorder="1"/>
    <xf numFmtId="0" fontId="1" fillId="0" borderId="2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168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0" fillId="0" borderId="0" xfId="0" applyFill="1"/>
    <xf numFmtId="166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  <xf numFmtId="9" fontId="0" fillId="0" borderId="0" xfId="1" applyFont="1"/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68" fontId="7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168" fontId="1" fillId="5" borderId="1" xfId="0" applyNumberFormat="1" applyFont="1" applyFill="1" applyBorder="1" applyAlignment="1">
      <alignment horizontal="center" vertical="center"/>
    </xf>
    <xf numFmtId="168" fontId="5" fillId="5" borderId="1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5" fillId="5" borderId="1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6" fontId="0" fillId="0" borderId="0" xfId="0" applyNumberFormat="1"/>
    <xf numFmtId="6" fontId="2" fillId="0" borderId="8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9" fontId="2" fillId="0" borderId="8" xfId="0" applyNumberFormat="1" applyFont="1" applyBorder="1" applyAlignment="1">
      <alignment horizontal="left" vertical="center" wrapText="1"/>
    </xf>
    <xf numFmtId="171" fontId="2" fillId="0" borderId="8" xfId="0" applyNumberFormat="1" applyFont="1" applyBorder="1" applyAlignment="1">
      <alignment horizontal="left" vertical="center" wrapText="1"/>
    </xf>
    <xf numFmtId="172" fontId="0" fillId="0" borderId="0" xfId="0" applyNumberFormat="1"/>
    <xf numFmtId="173" fontId="2" fillId="0" borderId="8" xfId="0" applyNumberFormat="1" applyFont="1" applyBorder="1" applyAlignment="1">
      <alignment horizontal="left" vertical="center" wrapText="1"/>
    </xf>
    <xf numFmtId="6" fontId="2" fillId="2" borderId="8" xfId="0" applyNumberFormat="1" applyFont="1" applyFill="1" applyBorder="1" applyAlignment="1">
      <alignment horizontal="left" vertical="center" wrapText="1"/>
    </xf>
    <xf numFmtId="169" fontId="2" fillId="2" borderId="8" xfId="0" applyNumberFormat="1" applyFont="1" applyFill="1" applyBorder="1" applyAlignment="1">
      <alignment horizontal="left" vertical="center" wrapText="1"/>
    </xf>
    <xf numFmtId="170" fontId="2" fillId="2" borderId="8" xfId="0" applyNumberFormat="1" applyFont="1" applyFill="1" applyBorder="1" applyAlignment="1">
      <alignment horizontal="left" vertical="center" wrapText="1"/>
    </xf>
    <xf numFmtId="6" fontId="2" fillId="0" borderId="8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74" fontId="2" fillId="0" borderId="0" xfId="0" applyNumberFormat="1" applyFont="1" applyBorder="1" applyAlignment="1">
      <alignment horizontal="left" vertical="center" wrapText="1"/>
    </xf>
    <xf numFmtId="0" fontId="4" fillId="0" borderId="0" xfId="0" applyFont="1"/>
    <xf numFmtId="9" fontId="1" fillId="4" borderId="0" xfId="1" applyNumberFormat="1" applyFont="1" applyFill="1" applyBorder="1"/>
    <xf numFmtId="9" fontId="1" fillId="4" borderId="2" xfId="1" applyNumberFormat="1" applyFont="1" applyFill="1" applyBorder="1"/>
    <xf numFmtId="164" fontId="10" fillId="0" borderId="0" xfId="4" applyNumberFormat="1" applyFont="1"/>
    <xf numFmtId="164" fontId="11" fillId="0" borderId="0" xfId="3" applyNumberFormat="1" applyFont="1"/>
    <xf numFmtId="0" fontId="10" fillId="0" borderId="0" xfId="3" applyFill="1"/>
    <xf numFmtId="164" fontId="10" fillId="0" borderId="0" xfId="3" applyNumberFormat="1" applyFill="1"/>
    <xf numFmtId="164" fontId="10" fillId="0" borderId="0" xfId="4" applyNumberFormat="1" applyFont="1" applyFill="1"/>
    <xf numFmtId="175" fontId="0" fillId="0" borderId="0" xfId="1" applyNumberFormat="1" applyFont="1"/>
    <xf numFmtId="0" fontId="2" fillId="0" borderId="13" xfId="0" applyFont="1" applyBorder="1" applyAlignment="1">
      <alignment horizontal="left" vertical="center" wrapText="1"/>
    </xf>
    <xf numFmtId="170" fontId="2" fillId="0" borderId="13" xfId="0" applyNumberFormat="1" applyFont="1" applyBorder="1" applyAlignment="1">
      <alignment horizontal="left" vertical="center" wrapText="1"/>
    </xf>
    <xf numFmtId="0" fontId="0" fillId="6" borderId="0" xfId="0" applyFill="1"/>
    <xf numFmtId="164" fontId="10" fillId="6" borderId="0" xfId="4" applyNumberFormat="1" applyFont="1" applyFill="1"/>
    <xf numFmtId="9" fontId="0" fillId="6" borderId="0" xfId="0" applyNumberFormat="1" applyFill="1"/>
    <xf numFmtId="0" fontId="1" fillId="6" borderId="0" xfId="0" applyFont="1" applyFill="1"/>
    <xf numFmtId="164" fontId="0" fillId="6" borderId="0" xfId="0" applyNumberFormat="1" applyFill="1"/>
    <xf numFmtId="0" fontId="4" fillId="6" borderId="0" xfId="0" applyFont="1" applyFill="1"/>
    <xf numFmtId="8" fontId="0" fillId="6" borderId="0" xfId="0" applyNumberFormat="1" applyFill="1"/>
    <xf numFmtId="0" fontId="1" fillId="6" borderId="0" xfId="0" applyFont="1" applyFill="1" applyAlignment="1">
      <alignment vertical="top" wrapText="1"/>
    </xf>
    <xf numFmtId="0" fontId="0" fillId="6" borderId="0" xfId="0" applyFill="1" applyAlignment="1">
      <alignment vertical="top" wrapText="1"/>
    </xf>
    <xf numFmtId="2" fontId="0" fillId="6" borderId="0" xfId="0" applyNumberFormat="1" applyFill="1"/>
    <xf numFmtId="6" fontId="0" fillId="6" borderId="0" xfId="0" applyNumberFormat="1" applyFill="1"/>
    <xf numFmtId="9" fontId="2" fillId="0" borderId="0" xfId="1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top"/>
    </xf>
    <xf numFmtId="0" fontId="1" fillId="0" borderId="0" xfId="0" applyFont="1" applyFill="1" applyBorder="1"/>
    <xf numFmtId="177" fontId="2" fillId="0" borderId="0" xfId="0" applyNumberFormat="1" applyFont="1" applyBorder="1" applyAlignment="1">
      <alignment horizontal="left" vertical="center" wrapText="1"/>
    </xf>
    <xf numFmtId="1" fontId="0" fillId="6" borderId="0" xfId="0" applyNumberFormat="1" applyFill="1"/>
    <xf numFmtId="0" fontId="10" fillId="6" borderId="0" xfId="3" applyFill="1" applyAlignment="1">
      <alignment horizontal="left"/>
    </xf>
    <xf numFmtId="0" fontId="0" fillId="6" borderId="0" xfId="0" applyFill="1" applyAlignment="1">
      <alignment horizontal="left"/>
    </xf>
    <xf numFmtId="0" fontId="1" fillId="6" borderId="0" xfId="0" applyFont="1" applyFill="1" applyAlignment="1">
      <alignment horizontal="left" vertical="top" wrapText="1"/>
    </xf>
    <xf numFmtId="8" fontId="0" fillId="6" borderId="0" xfId="0" applyNumberFormat="1" applyFill="1" applyAlignment="1">
      <alignment horizontal="left"/>
    </xf>
    <xf numFmtId="178" fontId="0" fillId="6" borderId="0" xfId="2" applyNumberFormat="1" applyFont="1" applyFill="1"/>
    <xf numFmtId="164" fontId="2" fillId="0" borderId="0" xfId="2" applyNumberFormat="1" applyFont="1" applyBorder="1" applyAlignment="1">
      <alignment horizontal="left" vertical="center" wrapText="1"/>
    </xf>
    <xf numFmtId="164" fontId="0" fillId="0" borderId="0" xfId="2" applyNumberFormat="1" applyFont="1"/>
    <xf numFmtId="170" fontId="0" fillId="0" borderId="0" xfId="0" applyNumberFormat="1"/>
    <xf numFmtId="0" fontId="11" fillId="6" borderId="0" xfId="3" applyFont="1" applyFill="1" applyAlignment="1">
      <alignment vertical="top" wrapText="1"/>
    </xf>
    <xf numFmtId="169" fontId="1" fillId="0" borderId="0" xfId="0" applyNumberFormat="1" applyFont="1"/>
    <xf numFmtId="169" fontId="1" fillId="0" borderId="0" xfId="0" applyNumberFormat="1" applyFont="1" applyFill="1" applyBorder="1"/>
    <xf numFmtId="170" fontId="2" fillId="0" borderId="8" xfId="0" applyNumberFormat="1" applyFont="1" applyFill="1" applyBorder="1" applyAlignment="1">
      <alignment horizontal="left" vertical="center" wrapText="1"/>
    </xf>
    <xf numFmtId="2" fontId="0" fillId="0" borderId="0" xfId="0" applyNumberFormat="1"/>
    <xf numFmtId="175" fontId="2" fillId="2" borderId="8" xfId="0" applyNumberFormat="1" applyFont="1" applyFill="1" applyBorder="1" applyAlignment="1">
      <alignment horizontal="left" vertical="center" wrapText="1"/>
    </xf>
    <xf numFmtId="179" fontId="1" fillId="0" borderId="0" xfId="0" applyNumberFormat="1" applyFont="1"/>
    <xf numFmtId="179" fontId="0" fillId="0" borderId="0" xfId="0" applyNumberFormat="1"/>
    <xf numFmtId="179" fontId="2" fillId="2" borderId="8" xfId="0" applyNumberFormat="1" applyFont="1" applyFill="1" applyBorder="1" applyAlignment="1">
      <alignment horizontal="left" vertical="center" wrapText="1"/>
    </xf>
    <xf numFmtId="169" fontId="0" fillId="0" borderId="0" xfId="0" applyNumberFormat="1"/>
    <xf numFmtId="173" fontId="0" fillId="0" borderId="0" xfId="0" applyNumberFormat="1"/>
    <xf numFmtId="174" fontId="1" fillId="0" borderId="0" xfId="0" applyNumberFormat="1" applyFont="1"/>
    <xf numFmtId="174" fontId="0" fillId="0" borderId="0" xfId="0" applyNumberFormat="1"/>
    <xf numFmtId="170" fontId="1" fillId="0" borderId="0" xfId="0" applyNumberFormat="1" applyFont="1"/>
    <xf numFmtId="167" fontId="0" fillId="0" borderId="0" xfId="0" applyNumberFormat="1"/>
    <xf numFmtId="167" fontId="1" fillId="0" borderId="0" xfId="0" applyNumberFormat="1" applyFont="1"/>
    <xf numFmtId="9" fontId="2" fillId="0" borderId="0" xfId="0" applyNumberFormat="1" applyFont="1" applyBorder="1" applyAlignment="1">
      <alignment horizontal="left" vertical="center" wrapText="1"/>
    </xf>
    <xf numFmtId="9" fontId="10" fillId="0" borderId="0" xfId="1" applyFont="1" applyFill="1"/>
    <xf numFmtId="9" fontId="0" fillId="0" borderId="0" xfId="0" applyNumberFormat="1"/>
    <xf numFmtId="9" fontId="12" fillId="0" borderId="0" xfId="0" applyNumberFormat="1" applyFont="1"/>
    <xf numFmtId="0" fontId="0" fillId="0" borderId="0" xfId="0" applyAlignment="1">
      <alignment vertical="top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</cellXfs>
  <cellStyles count="6">
    <cellStyle name="Komma" xfId="2" builtinId="3"/>
    <cellStyle name="Komma 2" xfId="4"/>
    <cellStyle name="Procent" xfId="1" builtinId="5"/>
    <cellStyle name="Procent 2" xfId="5"/>
    <cellStyle name="Standaard" xfId="0" builtinId="0"/>
    <cellStyle name="Standaard 2" xfId="3"/>
  </cellStyles>
  <dxfs count="0"/>
  <tableStyles count="0" defaultTableStyle="TableStyleMedium9" defaultPivotStyle="PivotStyleLight16"/>
  <colors>
    <mruColors>
      <color rgb="FF87A846"/>
      <color rgb="FFFFFF99"/>
      <color rgb="FFE7BCBB"/>
      <color rgb="FF0000FF"/>
      <color rgb="FF81A042"/>
      <color rgb="FFE8D9AE"/>
      <color rgb="FF7E7152"/>
      <color rgb="FFFADC90"/>
      <color rgb="FFFAD790"/>
      <color rgb="FF665C4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g"/><Relationship Id="rId3" Type="http://schemas.openxmlformats.org/officeDocument/2006/relationships/image" Target="../media/image3.jpeg"/><Relationship Id="rId7" Type="http://schemas.openxmlformats.org/officeDocument/2006/relationships/image" Target="../media/image7.gif"/><Relationship Id="rId12" Type="http://schemas.openxmlformats.org/officeDocument/2006/relationships/image" Target="../media/image12.png"/><Relationship Id="rId2" Type="http://schemas.openxmlformats.org/officeDocument/2006/relationships/image" Target="../media/image2.gif"/><Relationship Id="rId16" Type="http://schemas.openxmlformats.org/officeDocument/2006/relationships/image" Target="../media/image16.jpeg"/><Relationship Id="rId1" Type="http://schemas.openxmlformats.org/officeDocument/2006/relationships/image" Target="../media/image1.gif"/><Relationship Id="rId6" Type="http://schemas.openxmlformats.org/officeDocument/2006/relationships/image" Target="../media/image6.jpeg"/><Relationship Id="rId11" Type="http://schemas.openxmlformats.org/officeDocument/2006/relationships/image" Target="../media/image11.jpg"/><Relationship Id="rId5" Type="http://schemas.openxmlformats.org/officeDocument/2006/relationships/image" Target="../media/image5.gif"/><Relationship Id="rId15" Type="http://schemas.openxmlformats.org/officeDocument/2006/relationships/image" Target="../media/image15.gif"/><Relationship Id="rId10" Type="http://schemas.openxmlformats.org/officeDocument/2006/relationships/image" Target="../media/image10.png"/><Relationship Id="rId4" Type="http://schemas.openxmlformats.org/officeDocument/2006/relationships/image" Target="../media/image4.gif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3</xdr:row>
      <xdr:rowOff>523876</xdr:rowOff>
    </xdr:from>
    <xdr:to>
      <xdr:col>3</xdr:col>
      <xdr:colOff>1571625</xdr:colOff>
      <xdr:row>3</xdr:row>
      <xdr:rowOff>895351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950" y="1304926"/>
          <a:ext cx="1524000" cy="371475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3</xdr:row>
      <xdr:rowOff>428625</xdr:rowOff>
    </xdr:from>
    <xdr:to>
      <xdr:col>4</xdr:col>
      <xdr:colOff>1581150</xdr:colOff>
      <xdr:row>3</xdr:row>
      <xdr:rowOff>890588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0" y="1209675"/>
          <a:ext cx="1524000" cy="461963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3</xdr:row>
      <xdr:rowOff>590551</xdr:rowOff>
    </xdr:from>
    <xdr:to>
      <xdr:col>5</xdr:col>
      <xdr:colOff>1581150</xdr:colOff>
      <xdr:row>3</xdr:row>
      <xdr:rowOff>962026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1371601"/>
          <a:ext cx="1524000" cy="371475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3</xdr:row>
      <xdr:rowOff>495300</xdr:rowOff>
    </xdr:from>
    <xdr:to>
      <xdr:col>6</xdr:col>
      <xdr:colOff>1590675</xdr:colOff>
      <xdr:row>3</xdr:row>
      <xdr:rowOff>957263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1276350"/>
          <a:ext cx="1524000" cy="461963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104776</xdr:colOff>
      <xdr:row>3</xdr:row>
      <xdr:rowOff>192884</xdr:rowOff>
    </xdr:from>
    <xdr:to>
      <xdr:col>7</xdr:col>
      <xdr:colOff>1554943</xdr:colOff>
      <xdr:row>3</xdr:row>
      <xdr:rowOff>1280525</xdr:rowOff>
    </xdr:to>
    <xdr:pic>
      <xdr:nvPicPr>
        <xdr:cNvPr id="6" name="Afbeelding 5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11" t="22111" r="14223" b="10222"/>
        <a:stretch/>
      </xdr:blipFill>
      <xdr:spPr>
        <a:xfrm rot="10800000">
          <a:off x="10515601" y="973934"/>
          <a:ext cx="1450167" cy="1087641"/>
        </a:xfrm>
        <a:prstGeom prst="rect">
          <a:avLst/>
        </a:prstGeom>
      </xdr:spPr>
    </xdr:pic>
    <xdr:clientData/>
  </xdr:twoCellAnchor>
  <xdr:twoCellAnchor editAs="oneCell">
    <xdr:from>
      <xdr:col>9</xdr:col>
      <xdr:colOff>85725</xdr:colOff>
      <xdr:row>3</xdr:row>
      <xdr:rowOff>180975</xdr:rowOff>
    </xdr:from>
    <xdr:to>
      <xdr:col>9</xdr:col>
      <xdr:colOff>1609725</xdr:colOff>
      <xdr:row>3</xdr:row>
      <xdr:rowOff>1304925</xdr:rowOff>
    </xdr:to>
    <xdr:pic>
      <xdr:nvPicPr>
        <xdr:cNvPr id="7" name="Afbeelding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0300" y="962025"/>
          <a:ext cx="1524000" cy="1123950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3</xdr:row>
      <xdr:rowOff>342900</xdr:rowOff>
    </xdr:from>
    <xdr:to>
      <xdr:col>10</xdr:col>
      <xdr:colOff>1590675</xdr:colOff>
      <xdr:row>3</xdr:row>
      <xdr:rowOff>1185863</xdr:rowOff>
    </xdr:to>
    <xdr:pic>
      <xdr:nvPicPr>
        <xdr:cNvPr id="8" name="Afbeelding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5478125" y="1123950"/>
          <a:ext cx="1524000" cy="842963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57151</xdr:colOff>
      <xdr:row>3</xdr:row>
      <xdr:rowOff>285749</xdr:rowOff>
    </xdr:from>
    <xdr:to>
      <xdr:col>11</xdr:col>
      <xdr:colOff>1557360</xdr:colOff>
      <xdr:row>3</xdr:row>
      <xdr:rowOff>1143010</xdr:rowOff>
    </xdr:to>
    <xdr:pic>
      <xdr:nvPicPr>
        <xdr:cNvPr id="9" name="Afbeelding 8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99" t="46073" r="17000" b="593"/>
        <a:stretch/>
      </xdr:blipFill>
      <xdr:spPr>
        <a:xfrm rot="10800000">
          <a:off x="17135476" y="1066799"/>
          <a:ext cx="1500209" cy="857261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76201</xdr:colOff>
      <xdr:row>3</xdr:row>
      <xdr:rowOff>276224</xdr:rowOff>
    </xdr:from>
    <xdr:to>
      <xdr:col>12</xdr:col>
      <xdr:colOff>1576410</xdr:colOff>
      <xdr:row>3</xdr:row>
      <xdr:rowOff>1133485</xdr:rowOff>
    </xdr:to>
    <xdr:pic>
      <xdr:nvPicPr>
        <xdr:cNvPr id="10" name="Afbeelding 9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99" t="46073" r="17000" b="593"/>
        <a:stretch/>
      </xdr:blipFill>
      <xdr:spPr>
        <a:xfrm rot="10800000">
          <a:off x="18821401" y="1057274"/>
          <a:ext cx="1500209" cy="857261"/>
        </a:xfrm>
        <a:prstGeom prst="rect">
          <a:avLst/>
        </a:prstGeom>
      </xdr:spPr>
    </xdr:pic>
    <xdr:clientData/>
  </xdr:twoCellAnchor>
  <xdr:twoCellAnchor editAs="oneCell">
    <xdr:from>
      <xdr:col>16</xdr:col>
      <xdr:colOff>66675</xdr:colOff>
      <xdr:row>3</xdr:row>
      <xdr:rowOff>457201</xdr:rowOff>
    </xdr:from>
    <xdr:to>
      <xdr:col>16</xdr:col>
      <xdr:colOff>1590675</xdr:colOff>
      <xdr:row>3</xdr:row>
      <xdr:rowOff>1038226</xdr:rowOff>
    </xdr:to>
    <xdr:pic>
      <xdr:nvPicPr>
        <xdr:cNvPr id="11" name="Afbeelding 1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45625" y="1238251"/>
          <a:ext cx="1524000" cy="581025"/>
        </a:xfrm>
        <a:prstGeom prst="rect">
          <a:avLst/>
        </a:prstGeom>
      </xdr:spPr>
    </xdr:pic>
    <xdr:clientData/>
  </xdr:twoCellAnchor>
  <xdr:twoCellAnchor editAs="oneCell">
    <xdr:from>
      <xdr:col>17</xdr:col>
      <xdr:colOff>66675</xdr:colOff>
      <xdr:row>3</xdr:row>
      <xdr:rowOff>485776</xdr:rowOff>
    </xdr:from>
    <xdr:to>
      <xdr:col>17</xdr:col>
      <xdr:colOff>1590675</xdr:colOff>
      <xdr:row>3</xdr:row>
      <xdr:rowOff>1066801</xdr:rowOff>
    </xdr:to>
    <xdr:pic>
      <xdr:nvPicPr>
        <xdr:cNvPr id="12" name="Afbeelding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0" y="1266826"/>
          <a:ext cx="1524000" cy="581025"/>
        </a:xfrm>
        <a:prstGeom prst="rect">
          <a:avLst/>
        </a:prstGeom>
      </xdr:spPr>
    </xdr:pic>
    <xdr:clientData/>
  </xdr:twoCellAnchor>
  <xdr:twoCellAnchor editAs="oneCell">
    <xdr:from>
      <xdr:col>18</xdr:col>
      <xdr:colOff>76200</xdr:colOff>
      <xdr:row>3</xdr:row>
      <xdr:rowOff>628651</xdr:rowOff>
    </xdr:from>
    <xdr:to>
      <xdr:col>18</xdr:col>
      <xdr:colOff>1600200</xdr:colOff>
      <xdr:row>3</xdr:row>
      <xdr:rowOff>1000126</xdr:rowOff>
    </xdr:to>
    <xdr:pic>
      <xdr:nvPicPr>
        <xdr:cNvPr id="13" name="Afbeelding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88900" y="1409701"/>
          <a:ext cx="1524000" cy="371475"/>
        </a:xfrm>
        <a:prstGeom prst="rect">
          <a:avLst/>
        </a:prstGeom>
      </xdr:spPr>
    </xdr:pic>
    <xdr:clientData/>
  </xdr:twoCellAnchor>
  <xdr:twoCellAnchor editAs="oneCell">
    <xdr:from>
      <xdr:col>19</xdr:col>
      <xdr:colOff>85725</xdr:colOff>
      <xdr:row>3</xdr:row>
      <xdr:rowOff>533400</xdr:rowOff>
    </xdr:from>
    <xdr:to>
      <xdr:col>19</xdr:col>
      <xdr:colOff>1609725</xdr:colOff>
      <xdr:row>3</xdr:row>
      <xdr:rowOff>995363</xdr:rowOff>
    </xdr:to>
    <xdr:pic>
      <xdr:nvPicPr>
        <xdr:cNvPr id="14" name="Afbeelding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65300" y="1314450"/>
          <a:ext cx="1524000" cy="461963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3</xdr:row>
      <xdr:rowOff>238125</xdr:rowOff>
    </xdr:from>
    <xdr:to>
      <xdr:col>8</xdr:col>
      <xdr:colOff>1571625</xdr:colOff>
      <xdr:row>3</xdr:row>
      <xdr:rowOff>1289685</xdr:rowOff>
    </xdr:to>
    <xdr:pic>
      <xdr:nvPicPr>
        <xdr:cNvPr id="15" name="Afbeelding 1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5325" y="1019175"/>
          <a:ext cx="1524000" cy="1051560"/>
        </a:xfrm>
        <a:prstGeom prst="rect">
          <a:avLst/>
        </a:prstGeom>
      </xdr:spPr>
    </xdr:pic>
    <xdr:clientData/>
  </xdr:twoCellAnchor>
  <xdr:twoCellAnchor editAs="oneCell">
    <xdr:from>
      <xdr:col>19</xdr:col>
      <xdr:colOff>1638300</xdr:colOff>
      <xdr:row>3</xdr:row>
      <xdr:rowOff>209550</xdr:rowOff>
    </xdr:from>
    <xdr:to>
      <xdr:col>20</xdr:col>
      <xdr:colOff>1638300</xdr:colOff>
      <xdr:row>3</xdr:row>
      <xdr:rowOff>1350169</xdr:rowOff>
    </xdr:to>
    <xdr:pic>
      <xdr:nvPicPr>
        <xdr:cNvPr id="16" name="Afbeelding 15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17875" y="990600"/>
          <a:ext cx="1666875" cy="1140619"/>
        </a:xfrm>
        <a:prstGeom prst="rect">
          <a:avLst/>
        </a:prstGeom>
      </xdr:spPr>
    </xdr:pic>
    <xdr:clientData/>
  </xdr:twoCellAnchor>
  <xdr:twoCellAnchor editAs="oneCell">
    <xdr:from>
      <xdr:col>20</xdr:col>
      <xdr:colOff>1628775</xdr:colOff>
      <xdr:row>3</xdr:row>
      <xdr:rowOff>238125</xdr:rowOff>
    </xdr:from>
    <xdr:to>
      <xdr:col>21</xdr:col>
      <xdr:colOff>1628775</xdr:colOff>
      <xdr:row>3</xdr:row>
      <xdr:rowOff>1378744</xdr:rowOff>
    </xdr:to>
    <xdr:pic>
      <xdr:nvPicPr>
        <xdr:cNvPr id="17" name="Afbeelding 16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75225" y="1019175"/>
          <a:ext cx="1666875" cy="1140619"/>
        </a:xfrm>
        <a:prstGeom prst="rect">
          <a:avLst/>
        </a:prstGeom>
      </xdr:spPr>
    </xdr:pic>
    <xdr:clientData/>
  </xdr:twoCellAnchor>
  <xdr:twoCellAnchor editAs="oneCell">
    <xdr:from>
      <xdr:col>22</xdr:col>
      <xdr:colOff>171451</xdr:colOff>
      <xdr:row>3</xdr:row>
      <xdr:rowOff>314326</xdr:rowOff>
    </xdr:from>
    <xdr:to>
      <xdr:col>22</xdr:col>
      <xdr:colOff>1551430</xdr:colOff>
      <xdr:row>3</xdr:row>
      <xdr:rowOff>1290287</xdr:rowOff>
    </xdr:to>
    <xdr:pic>
      <xdr:nvPicPr>
        <xdr:cNvPr id="18" name="Afbeelding 17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51651" y="1095376"/>
          <a:ext cx="1379979" cy="975961"/>
        </a:xfrm>
        <a:prstGeom prst="rect">
          <a:avLst/>
        </a:prstGeom>
      </xdr:spPr>
    </xdr:pic>
    <xdr:clientData/>
  </xdr:twoCellAnchor>
  <xdr:twoCellAnchor editAs="oneCell">
    <xdr:from>
      <xdr:col>27</xdr:col>
      <xdr:colOff>133350</xdr:colOff>
      <xdr:row>3</xdr:row>
      <xdr:rowOff>85724</xdr:rowOff>
    </xdr:from>
    <xdr:to>
      <xdr:col>27</xdr:col>
      <xdr:colOff>1539240</xdr:colOff>
      <xdr:row>3</xdr:row>
      <xdr:rowOff>1426829</xdr:rowOff>
    </xdr:to>
    <xdr:pic>
      <xdr:nvPicPr>
        <xdr:cNvPr id="19" name="Afbeelding 18"/>
        <xdr:cNvPicPr>
          <a:picLocks noChangeAspect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749" t="28834" r="27126" b="12500"/>
        <a:stretch/>
      </xdr:blipFill>
      <xdr:spPr>
        <a:xfrm>
          <a:off x="38881050" y="866774"/>
          <a:ext cx="1405890" cy="1341105"/>
        </a:xfrm>
        <a:prstGeom prst="rect">
          <a:avLst/>
        </a:prstGeom>
      </xdr:spPr>
    </xdr:pic>
    <xdr:clientData/>
  </xdr:twoCellAnchor>
  <xdr:twoCellAnchor editAs="oneCell">
    <xdr:from>
      <xdr:col>25</xdr:col>
      <xdr:colOff>123825</xdr:colOff>
      <xdr:row>3</xdr:row>
      <xdr:rowOff>247650</xdr:rowOff>
    </xdr:from>
    <xdr:to>
      <xdr:col>25</xdr:col>
      <xdr:colOff>1573992</xdr:colOff>
      <xdr:row>3</xdr:row>
      <xdr:rowOff>1335291</xdr:rowOff>
    </xdr:to>
    <xdr:pic>
      <xdr:nvPicPr>
        <xdr:cNvPr id="20" name="Afbeelding 19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11" t="22111" r="14223" b="10222"/>
        <a:stretch/>
      </xdr:blipFill>
      <xdr:spPr>
        <a:xfrm rot="10800000">
          <a:off x="35537775" y="1028700"/>
          <a:ext cx="1450167" cy="1087641"/>
        </a:xfrm>
        <a:prstGeom prst="rect">
          <a:avLst/>
        </a:prstGeom>
      </xdr:spPr>
    </xdr:pic>
    <xdr:clientData/>
  </xdr:twoCellAnchor>
  <xdr:twoCellAnchor editAs="oneCell">
    <xdr:from>
      <xdr:col>26</xdr:col>
      <xdr:colOff>133350</xdr:colOff>
      <xdr:row>3</xdr:row>
      <xdr:rowOff>276225</xdr:rowOff>
    </xdr:from>
    <xdr:to>
      <xdr:col>26</xdr:col>
      <xdr:colOff>1583517</xdr:colOff>
      <xdr:row>3</xdr:row>
      <xdr:rowOff>1363866</xdr:rowOff>
    </xdr:to>
    <xdr:pic>
      <xdr:nvPicPr>
        <xdr:cNvPr id="21" name="Afbeelding 20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11" t="22111" r="14223" b="10222"/>
        <a:stretch/>
      </xdr:blipFill>
      <xdr:spPr>
        <a:xfrm rot="10800000">
          <a:off x="37214175" y="1057275"/>
          <a:ext cx="1450167" cy="1087641"/>
        </a:xfrm>
        <a:prstGeom prst="rect">
          <a:avLst/>
        </a:prstGeom>
      </xdr:spPr>
    </xdr:pic>
    <xdr:clientData/>
  </xdr:twoCellAnchor>
  <xdr:twoCellAnchor editAs="oneCell">
    <xdr:from>
      <xdr:col>29</xdr:col>
      <xdr:colOff>1619250</xdr:colOff>
      <xdr:row>3</xdr:row>
      <xdr:rowOff>238125</xdr:rowOff>
    </xdr:from>
    <xdr:to>
      <xdr:col>30</xdr:col>
      <xdr:colOff>1619250</xdr:colOff>
      <xdr:row>3</xdr:row>
      <xdr:rowOff>1378744</xdr:rowOff>
    </xdr:to>
    <xdr:pic>
      <xdr:nvPicPr>
        <xdr:cNvPr id="22" name="Afbeelding 2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0700" y="1019175"/>
          <a:ext cx="1666875" cy="1140619"/>
        </a:xfrm>
        <a:prstGeom prst="rect">
          <a:avLst/>
        </a:prstGeom>
      </xdr:spPr>
    </xdr:pic>
    <xdr:clientData/>
  </xdr:twoCellAnchor>
  <xdr:twoCellAnchor editAs="oneCell">
    <xdr:from>
      <xdr:col>29</xdr:col>
      <xdr:colOff>104775</xdr:colOff>
      <xdr:row>3</xdr:row>
      <xdr:rowOff>333375</xdr:rowOff>
    </xdr:from>
    <xdr:to>
      <xdr:col>29</xdr:col>
      <xdr:colOff>1604984</xdr:colOff>
      <xdr:row>3</xdr:row>
      <xdr:rowOff>1190636</xdr:rowOff>
    </xdr:to>
    <xdr:pic>
      <xdr:nvPicPr>
        <xdr:cNvPr id="23" name="Afbeelding 22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99" t="46073" r="17000" b="593"/>
        <a:stretch/>
      </xdr:blipFill>
      <xdr:spPr>
        <a:xfrm rot="10800000">
          <a:off x="42186225" y="1114425"/>
          <a:ext cx="1500209" cy="857261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95250</xdr:colOff>
      <xdr:row>3</xdr:row>
      <xdr:rowOff>314325</xdr:rowOff>
    </xdr:from>
    <xdr:to>
      <xdr:col>28</xdr:col>
      <xdr:colOff>1595459</xdr:colOff>
      <xdr:row>3</xdr:row>
      <xdr:rowOff>1171586</xdr:rowOff>
    </xdr:to>
    <xdr:pic>
      <xdr:nvPicPr>
        <xdr:cNvPr id="24" name="Afbeelding 23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99" t="46073" r="17000" b="593"/>
        <a:stretch/>
      </xdr:blipFill>
      <xdr:spPr>
        <a:xfrm rot="10800000">
          <a:off x="40509825" y="1095375"/>
          <a:ext cx="1500209" cy="857261"/>
        </a:xfrm>
        <a:prstGeom prst="rect">
          <a:avLst/>
        </a:prstGeom>
      </xdr:spPr>
    </xdr:pic>
    <xdr:clientData/>
  </xdr:twoCellAnchor>
  <xdr:twoCellAnchor editAs="oneCell">
    <xdr:from>
      <xdr:col>31</xdr:col>
      <xdr:colOff>85725</xdr:colOff>
      <xdr:row>3</xdr:row>
      <xdr:rowOff>190500</xdr:rowOff>
    </xdr:from>
    <xdr:to>
      <xdr:col>31</xdr:col>
      <xdr:colOff>1571625</xdr:colOff>
      <xdr:row>3</xdr:row>
      <xdr:rowOff>1304925</xdr:rowOff>
    </xdr:to>
    <xdr:pic>
      <xdr:nvPicPr>
        <xdr:cNvPr id="26" name="Afbeelding 25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00925" y="971550"/>
          <a:ext cx="1485900" cy="1114425"/>
        </a:xfrm>
        <a:prstGeom prst="rect">
          <a:avLst/>
        </a:prstGeom>
      </xdr:spPr>
    </xdr:pic>
    <xdr:clientData/>
  </xdr:twoCellAnchor>
  <xdr:twoCellAnchor editAs="oneCell">
    <xdr:from>
      <xdr:col>15</xdr:col>
      <xdr:colOff>85725</xdr:colOff>
      <xdr:row>3</xdr:row>
      <xdr:rowOff>209550</xdr:rowOff>
    </xdr:from>
    <xdr:to>
      <xdr:col>15</xdr:col>
      <xdr:colOff>1590676</xdr:colOff>
      <xdr:row>3</xdr:row>
      <xdr:rowOff>1350169</xdr:rowOff>
    </xdr:to>
    <xdr:pic>
      <xdr:nvPicPr>
        <xdr:cNvPr id="25" name="Afbeelding 24"/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14"/>
        <a:stretch/>
      </xdr:blipFill>
      <xdr:spPr>
        <a:xfrm>
          <a:off x="23831550" y="990600"/>
          <a:ext cx="1504951" cy="1140619"/>
        </a:xfrm>
        <a:prstGeom prst="rect">
          <a:avLst/>
        </a:prstGeom>
      </xdr:spPr>
    </xdr:pic>
    <xdr:clientData/>
  </xdr:twoCellAnchor>
  <xdr:twoCellAnchor editAs="oneCell">
    <xdr:from>
      <xdr:col>24</xdr:col>
      <xdr:colOff>38100</xdr:colOff>
      <xdr:row>3</xdr:row>
      <xdr:rowOff>152400</xdr:rowOff>
    </xdr:from>
    <xdr:to>
      <xdr:col>24</xdr:col>
      <xdr:colOff>1562100</xdr:colOff>
      <xdr:row>3</xdr:row>
      <xdr:rowOff>1203960</xdr:rowOff>
    </xdr:to>
    <xdr:pic>
      <xdr:nvPicPr>
        <xdr:cNvPr id="29" name="Afbeelding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52675" y="933450"/>
          <a:ext cx="1524000" cy="1051560"/>
        </a:xfrm>
        <a:prstGeom prst="rect">
          <a:avLst/>
        </a:prstGeom>
      </xdr:spPr>
    </xdr:pic>
    <xdr:clientData/>
  </xdr:twoCellAnchor>
  <xdr:twoCellAnchor editAs="oneCell">
    <xdr:from>
      <xdr:col>23</xdr:col>
      <xdr:colOff>76200</xdr:colOff>
      <xdr:row>3</xdr:row>
      <xdr:rowOff>190500</xdr:rowOff>
    </xdr:from>
    <xdr:to>
      <xdr:col>23</xdr:col>
      <xdr:colOff>1600200</xdr:colOff>
      <xdr:row>3</xdr:row>
      <xdr:rowOff>1242060</xdr:rowOff>
    </xdr:to>
    <xdr:pic>
      <xdr:nvPicPr>
        <xdr:cNvPr id="30" name="Afbeelding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90150" y="971550"/>
          <a:ext cx="1524000" cy="1051560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3</xdr:row>
      <xdr:rowOff>390526</xdr:rowOff>
    </xdr:from>
    <xdr:to>
      <xdr:col>14</xdr:col>
      <xdr:colOff>1609725</xdr:colOff>
      <xdr:row>3</xdr:row>
      <xdr:rowOff>1104901</xdr:rowOff>
    </xdr:to>
    <xdr:pic>
      <xdr:nvPicPr>
        <xdr:cNvPr id="31" name="Afbeelding 30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64675" y="1171576"/>
          <a:ext cx="1524000" cy="714375"/>
        </a:xfrm>
        <a:prstGeom prst="rect">
          <a:avLst/>
        </a:prstGeom>
      </xdr:spPr>
    </xdr:pic>
    <xdr:clientData/>
  </xdr:twoCellAnchor>
  <xdr:twoCellAnchor editAs="oneCell">
    <xdr:from>
      <xdr:col>32</xdr:col>
      <xdr:colOff>171450</xdr:colOff>
      <xdr:row>3</xdr:row>
      <xdr:rowOff>428626</xdr:rowOff>
    </xdr:from>
    <xdr:to>
      <xdr:col>32</xdr:col>
      <xdr:colOff>1600206</xdr:colOff>
      <xdr:row>3</xdr:row>
      <xdr:rowOff>1152521</xdr:rowOff>
    </xdr:to>
    <xdr:pic>
      <xdr:nvPicPr>
        <xdr:cNvPr id="33" name="Afbeelding 32"/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7" t="14816" b="22633"/>
        <a:stretch/>
      </xdr:blipFill>
      <xdr:spPr>
        <a:xfrm>
          <a:off x="52254150" y="1209676"/>
          <a:ext cx="1428756" cy="723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zoomScale="80" zoomScaleNormal="80" workbookViewId="0">
      <selection activeCell="A3" sqref="A3"/>
    </sheetView>
  </sheetViews>
  <sheetFormatPr defaultRowHeight="13.2"/>
  <cols>
    <col min="1" max="1" width="39.88671875" customWidth="1"/>
    <col min="2" max="2" width="19.6640625" hidden="1" customWidth="1"/>
    <col min="3" max="3" width="25.5546875" customWidth="1"/>
    <col min="4" max="4" width="18.6640625" customWidth="1"/>
    <col min="5" max="10" width="15.77734375" customWidth="1"/>
    <col min="11" max="11" width="23.5546875" customWidth="1"/>
    <col min="12" max="13" width="15.77734375" customWidth="1"/>
  </cols>
  <sheetData>
    <row r="1" spans="1:13">
      <c r="A1" s="3" t="s">
        <v>162</v>
      </c>
      <c r="B1">
        <v>5.2</v>
      </c>
      <c r="C1">
        <v>5.3</v>
      </c>
      <c r="D1">
        <v>5.4</v>
      </c>
      <c r="E1">
        <v>5.5</v>
      </c>
      <c r="F1">
        <v>5.6</v>
      </c>
      <c r="G1">
        <v>5.7</v>
      </c>
      <c r="H1">
        <v>5.8</v>
      </c>
      <c r="I1">
        <v>5.9</v>
      </c>
      <c r="J1" s="110">
        <v>5.0999999999999996</v>
      </c>
      <c r="K1">
        <v>5.1100000000000003</v>
      </c>
      <c r="L1">
        <v>5.13</v>
      </c>
      <c r="M1">
        <v>5.14</v>
      </c>
    </row>
    <row r="2" spans="1:13" s="126" customFormat="1" ht="31.8" customHeight="1" thickBot="1">
      <c r="A2" s="18" t="s">
        <v>179</v>
      </c>
      <c r="B2" s="18" t="s">
        <v>163</v>
      </c>
      <c r="C2" s="18" t="s">
        <v>164</v>
      </c>
      <c r="D2" s="18" t="s">
        <v>165</v>
      </c>
      <c r="E2" s="18" t="s">
        <v>166</v>
      </c>
      <c r="F2" s="18" t="s">
        <v>172</v>
      </c>
      <c r="G2" s="18" t="s">
        <v>167</v>
      </c>
      <c r="H2" s="18" t="s">
        <v>168</v>
      </c>
      <c r="I2" s="18" t="s">
        <v>169</v>
      </c>
      <c r="J2" s="18" t="s">
        <v>170</v>
      </c>
      <c r="K2" s="18" t="s">
        <v>171</v>
      </c>
      <c r="L2" s="18" t="s">
        <v>173</v>
      </c>
      <c r="M2" s="18" t="s">
        <v>174</v>
      </c>
    </row>
    <row r="3" spans="1:13" ht="13.8" thickBot="1">
      <c r="A3" s="52" t="s">
        <v>99</v>
      </c>
      <c r="B3" s="53" t="s">
        <v>100</v>
      </c>
    </row>
    <row r="4" spans="1:13" ht="13.8" thickBot="1">
      <c r="A4" s="131" t="s">
        <v>101</v>
      </c>
      <c r="B4" s="132"/>
    </row>
    <row r="5" spans="1:13" ht="13.8" thickBot="1">
      <c r="A5" s="54" t="s">
        <v>161</v>
      </c>
      <c r="B5" s="57">
        <v>250</v>
      </c>
      <c r="C5" s="112">
        <v>550</v>
      </c>
      <c r="D5" s="113">
        <v>150</v>
      </c>
      <c r="E5" s="113">
        <v>200</v>
      </c>
      <c r="F5" s="113">
        <f>136+100+10</f>
        <v>246</v>
      </c>
      <c r="G5" s="113">
        <f>90+17</f>
        <v>107</v>
      </c>
      <c r="H5" s="113">
        <v>480</v>
      </c>
      <c r="I5" s="113">
        <v>150</v>
      </c>
      <c r="J5" s="113">
        <f>18+100+20</f>
        <v>138</v>
      </c>
      <c r="K5" s="113">
        <v>130</v>
      </c>
      <c r="L5" s="113">
        <v>200</v>
      </c>
      <c r="M5" s="113">
        <v>240</v>
      </c>
    </row>
    <row r="6" spans="1:13" ht="13.8" thickBot="1">
      <c r="A6" s="54" t="s">
        <v>102</v>
      </c>
      <c r="B6" s="57">
        <v>50</v>
      </c>
      <c r="C6" s="113">
        <v>50</v>
      </c>
      <c r="D6" s="113">
        <v>50</v>
      </c>
      <c r="E6" s="113">
        <f>25+50</f>
        <v>75</v>
      </c>
      <c r="F6" s="113">
        <v>100</v>
      </c>
      <c r="G6" s="113">
        <v>50</v>
      </c>
      <c r="H6" s="113">
        <v>80</v>
      </c>
      <c r="I6" s="113">
        <v>50</v>
      </c>
      <c r="J6" s="113">
        <v>50</v>
      </c>
      <c r="K6" s="113">
        <v>80</v>
      </c>
      <c r="L6" s="113">
        <v>25</v>
      </c>
      <c r="M6" s="113">
        <v>50</v>
      </c>
    </row>
    <row r="7" spans="1:13" ht="13.8" thickBot="1">
      <c r="A7" s="54" t="s">
        <v>121</v>
      </c>
      <c r="B7" s="64">
        <f>(B5+B6)*(1+parameters!$B$3)</f>
        <v>300</v>
      </c>
      <c r="C7" s="114">
        <f>(C5+C6)*(1+parameters!$B$3)</f>
        <v>600</v>
      </c>
      <c r="D7" s="114">
        <f>(D5+D6)*(1+parameters!$B$3)</f>
        <v>200</v>
      </c>
      <c r="E7" s="114">
        <f>(E5+E6)*(1+parameters!$B$3)</f>
        <v>275</v>
      </c>
      <c r="F7" s="114">
        <f>(F5+F6)*(1+parameters!$B$3)</f>
        <v>346</v>
      </c>
      <c r="G7" s="114">
        <f>(G5+G6)*(1+parameters!$B$3)</f>
        <v>157</v>
      </c>
      <c r="H7" s="114">
        <f>(H5+H6)*(1+parameters!$B$3)</f>
        <v>560</v>
      </c>
      <c r="I7" s="114">
        <f>(I5+I6)*(1+parameters!$B$3)</f>
        <v>200</v>
      </c>
      <c r="J7" s="114">
        <f>(J5+J6)*(1+parameters!$B$3)</f>
        <v>188</v>
      </c>
      <c r="K7" s="114">
        <f>(K5+K6)*(1+parameters!$B$3)</f>
        <v>210</v>
      </c>
      <c r="L7" s="114">
        <f>(L5+L6)*(1+parameters!$B$3)</f>
        <v>225</v>
      </c>
      <c r="M7" s="114">
        <f>(M5+M6)*(1+parameters!$B$3)</f>
        <v>290</v>
      </c>
    </row>
    <row r="8" spans="1:13" ht="13.8" thickBot="1">
      <c r="A8" s="54"/>
      <c r="B8" s="55"/>
    </row>
    <row r="9" spans="1:13" ht="13.8" thickBot="1">
      <c r="A9" s="54" t="s">
        <v>103</v>
      </c>
      <c r="B9" s="60">
        <v>2628</v>
      </c>
      <c r="C9" s="107">
        <v>350</v>
      </c>
      <c r="D9" s="115">
        <v>91</v>
      </c>
      <c r="E9" s="115">
        <v>438</v>
      </c>
      <c r="F9" s="115">
        <v>788</v>
      </c>
      <c r="G9" s="115">
        <v>219</v>
      </c>
      <c r="H9" s="115">
        <v>788</v>
      </c>
      <c r="I9" s="115">
        <v>114</v>
      </c>
      <c r="J9" s="115">
        <v>438</v>
      </c>
      <c r="K9" s="115">
        <v>57</v>
      </c>
      <c r="L9" s="115">
        <v>197</v>
      </c>
      <c r="M9" s="115">
        <v>425</v>
      </c>
    </row>
    <row r="10" spans="1:13" ht="13.8" thickBot="1">
      <c r="A10" s="54" t="s">
        <v>104</v>
      </c>
      <c r="B10" s="60">
        <v>315</v>
      </c>
      <c r="C10" s="108">
        <v>197</v>
      </c>
      <c r="D10" s="115">
        <v>10</v>
      </c>
      <c r="E10" s="115">
        <v>121</v>
      </c>
      <c r="F10" s="115">
        <v>440</v>
      </c>
      <c r="G10" s="115">
        <v>11</v>
      </c>
      <c r="H10" s="115">
        <v>53</v>
      </c>
      <c r="I10" s="115">
        <v>20</v>
      </c>
      <c r="J10" s="115">
        <v>40</v>
      </c>
      <c r="K10" s="115">
        <v>9</v>
      </c>
      <c r="L10" s="115">
        <v>16</v>
      </c>
      <c r="M10" s="115">
        <v>27</v>
      </c>
    </row>
    <row r="11" spans="1:13" ht="13.8" thickBot="1">
      <c r="A11" s="54" t="s">
        <v>105</v>
      </c>
      <c r="B11" s="65">
        <f>B9-B10</f>
        <v>2313</v>
      </c>
      <c r="C11" s="65">
        <f>C9-C10</f>
        <v>153</v>
      </c>
      <c r="D11" s="65">
        <f t="shared" ref="D11:M11" si="0">D9-D10</f>
        <v>81</v>
      </c>
      <c r="E11" s="65">
        <f t="shared" si="0"/>
        <v>317</v>
      </c>
      <c r="F11" s="65">
        <f t="shared" si="0"/>
        <v>348</v>
      </c>
      <c r="G11" s="65">
        <f t="shared" si="0"/>
        <v>208</v>
      </c>
      <c r="H11" s="65">
        <f t="shared" si="0"/>
        <v>735</v>
      </c>
      <c r="I11" s="65">
        <f t="shared" si="0"/>
        <v>94</v>
      </c>
      <c r="J11" s="65">
        <f t="shared" si="0"/>
        <v>398</v>
      </c>
      <c r="K11" s="65">
        <f t="shared" si="0"/>
        <v>48</v>
      </c>
      <c r="L11" s="65">
        <f t="shared" si="0"/>
        <v>181</v>
      </c>
      <c r="M11" s="65">
        <f t="shared" si="0"/>
        <v>398</v>
      </c>
    </row>
    <row r="12" spans="1:13">
      <c r="A12" s="127"/>
      <c r="B12" s="128"/>
    </row>
    <row r="13" spans="1:13" ht="13.8" thickBot="1">
      <c r="A13" s="129" t="s">
        <v>106</v>
      </c>
      <c r="B13" s="130"/>
    </row>
    <row r="14" spans="1:13" ht="13.8" thickBot="1">
      <c r="A14" s="54" t="s">
        <v>107</v>
      </c>
      <c r="B14" s="63">
        <v>2000</v>
      </c>
      <c r="C14" s="116">
        <v>15000</v>
      </c>
      <c r="D14" s="116">
        <v>8000</v>
      </c>
      <c r="E14" s="116">
        <v>8000</v>
      </c>
      <c r="F14" s="116">
        <v>8000</v>
      </c>
      <c r="G14" s="116">
        <v>12000</v>
      </c>
      <c r="H14" s="116">
        <v>12000</v>
      </c>
      <c r="I14" s="116">
        <v>10000</v>
      </c>
      <c r="J14" s="116">
        <v>8000</v>
      </c>
      <c r="K14" s="116">
        <v>10000</v>
      </c>
      <c r="L14" s="116">
        <v>12000</v>
      </c>
      <c r="M14" s="116">
        <v>12000</v>
      </c>
    </row>
    <row r="15" spans="1:13" ht="13.8" thickBot="1">
      <c r="A15" s="54" t="s">
        <v>108</v>
      </c>
      <c r="B15" s="61">
        <v>0.5</v>
      </c>
      <c r="C15" s="117">
        <v>3.4</v>
      </c>
      <c r="D15" s="118">
        <v>2.2000000000000002</v>
      </c>
      <c r="E15" s="118">
        <v>0.9</v>
      </c>
      <c r="F15" s="118">
        <v>1.2</v>
      </c>
      <c r="G15" s="118">
        <v>1.4</v>
      </c>
      <c r="H15" s="118">
        <v>1.4</v>
      </c>
      <c r="I15" s="118">
        <v>1.1000000000000001</v>
      </c>
      <c r="J15" s="118">
        <v>0.9</v>
      </c>
      <c r="K15" s="118">
        <v>2.2999999999999998</v>
      </c>
      <c r="L15" s="118">
        <v>2.7</v>
      </c>
      <c r="M15" s="118">
        <v>1.9</v>
      </c>
    </row>
    <row r="16" spans="1:13">
      <c r="A16" s="79" t="s">
        <v>109</v>
      </c>
      <c r="B16" s="80">
        <v>54</v>
      </c>
      <c r="C16" s="119">
        <v>19</v>
      </c>
      <c r="D16" s="105">
        <v>13</v>
      </c>
      <c r="E16" s="105">
        <v>33</v>
      </c>
      <c r="F16" s="105">
        <v>63</v>
      </c>
      <c r="G16" s="105">
        <v>20</v>
      </c>
      <c r="H16" s="105">
        <v>22</v>
      </c>
      <c r="I16" s="105">
        <v>25</v>
      </c>
      <c r="J16" s="105">
        <v>35</v>
      </c>
      <c r="K16" s="105">
        <v>12</v>
      </c>
      <c r="L16" s="105">
        <v>10</v>
      </c>
      <c r="M16" s="105">
        <v>44</v>
      </c>
    </row>
    <row r="17" spans="1:13" ht="13.8" thickBot="1">
      <c r="A17" s="58" t="s">
        <v>123</v>
      </c>
      <c r="B17" s="67">
        <v>80</v>
      </c>
      <c r="C17" s="113">
        <v>350</v>
      </c>
      <c r="D17" s="113">
        <v>100</v>
      </c>
      <c r="E17" s="113">
        <v>100</v>
      </c>
      <c r="F17" s="113">
        <v>100</v>
      </c>
      <c r="G17" s="113">
        <v>60</v>
      </c>
      <c r="H17" s="113">
        <v>50</v>
      </c>
      <c r="I17" s="113">
        <v>50</v>
      </c>
      <c r="J17" s="113">
        <v>60</v>
      </c>
      <c r="K17" s="113">
        <v>60</v>
      </c>
      <c r="L17" s="113">
        <v>50</v>
      </c>
      <c r="M17" s="113">
        <f>150</f>
        <v>150</v>
      </c>
    </row>
    <row r="18" spans="1:13" ht="13.8" thickBot="1">
      <c r="A18" s="79" t="s">
        <v>110</v>
      </c>
      <c r="B18" s="80">
        <f>80/20</f>
        <v>4</v>
      </c>
      <c r="C18" s="119">
        <v>17</v>
      </c>
      <c r="D18" s="105">
        <v>5</v>
      </c>
      <c r="E18" s="105">
        <v>5</v>
      </c>
      <c r="F18" s="105">
        <v>5</v>
      </c>
      <c r="G18" s="105">
        <v>6</v>
      </c>
      <c r="H18" s="105">
        <v>2.5</v>
      </c>
      <c r="I18" s="105">
        <v>5</v>
      </c>
      <c r="J18" s="105">
        <v>3</v>
      </c>
      <c r="K18" s="105">
        <v>2.5</v>
      </c>
      <c r="L18" s="105">
        <v>2.5</v>
      </c>
      <c r="M18" s="105">
        <f>150/20</f>
        <v>7.5</v>
      </c>
    </row>
    <row r="19" spans="1:13">
      <c r="A19" s="127"/>
      <c r="B19" s="128"/>
    </row>
    <row r="20" spans="1:13" ht="13.8" thickBot="1">
      <c r="A20" s="129" t="s">
        <v>111</v>
      </c>
      <c r="B20" s="130"/>
    </row>
    <row r="21" spans="1:13" ht="13.8" thickBot="1">
      <c r="A21" s="54" t="s">
        <v>112</v>
      </c>
      <c r="B21" s="63">
        <v>50000</v>
      </c>
      <c r="C21" s="120">
        <v>50000</v>
      </c>
      <c r="D21" s="120">
        <v>50000</v>
      </c>
      <c r="E21" s="120">
        <v>50000</v>
      </c>
      <c r="F21" s="120">
        <v>50000</v>
      </c>
      <c r="G21" s="120">
        <v>50000</v>
      </c>
      <c r="H21" s="120">
        <v>50000</v>
      </c>
      <c r="I21" s="120">
        <v>50000</v>
      </c>
      <c r="J21" s="121">
        <v>50000</v>
      </c>
      <c r="K21" s="121">
        <v>50000</v>
      </c>
      <c r="L21" s="121">
        <v>50000</v>
      </c>
      <c r="M21" s="121">
        <v>50000</v>
      </c>
    </row>
    <row r="22" spans="1:13" ht="31.2" customHeight="1" thickBot="1">
      <c r="A22" s="54" t="s">
        <v>113</v>
      </c>
      <c r="B22" s="61">
        <v>11.4</v>
      </c>
      <c r="C22" s="3">
        <v>11.4</v>
      </c>
      <c r="D22">
        <v>13.7</v>
      </c>
      <c r="E22">
        <f>(28+5.7)/2</f>
        <v>16.850000000000001</v>
      </c>
      <c r="F22">
        <f>(5.7+28.5)/2</f>
        <v>17.100000000000001</v>
      </c>
      <c r="G22">
        <v>57</v>
      </c>
      <c r="H22">
        <v>22.8</v>
      </c>
      <c r="I22">
        <v>57</v>
      </c>
      <c r="J22" s="3">
        <v>18.8</v>
      </c>
      <c r="K22">
        <v>42</v>
      </c>
      <c r="L22" s="3">
        <v>45.7</v>
      </c>
      <c r="M22" s="3">
        <v>34</v>
      </c>
    </row>
    <row r="23" spans="1:13" ht="13.8" thickBot="1">
      <c r="A23" s="54" t="s">
        <v>114</v>
      </c>
      <c r="B23" s="66">
        <f>B7/B22</f>
        <v>26.315789473684209</v>
      </c>
      <c r="C23" s="66">
        <f>C7/C22</f>
        <v>52.631578947368418</v>
      </c>
      <c r="D23" s="66">
        <f t="shared" ref="D23:L23" si="1">D7/D22</f>
        <v>14.598540145985401</v>
      </c>
      <c r="E23" s="109">
        <v>29</v>
      </c>
      <c r="F23" s="109">
        <v>39</v>
      </c>
      <c r="G23" s="66">
        <f t="shared" si="1"/>
        <v>2.7543859649122808</v>
      </c>
      <c r="H23" s="66">
        <f t="shared" si="1"/>
        <v>24.561403508771928</v>
      </c>
      <c r="I23" s="66">
        <f t="shared" si="1"/>
        <v>3.5087719298245612</v>
      </c>
      <c r="J23" s="66">
        <f t="shared" si="1"/>
        <v>10</v>
      </c>
      <c r="K23" s="109">
        <v>5</v>
      </c>
      <c r="L23" s="66">
        <f t="shared" si="1"/>
        <v>4.9234135667396055</v>
      </c>
      <c r="M23" s="66">
        <v>5</v>
      </c>
    </row>
    <row r="24" spans="1:13">
      <c r="A24" s="127"/>
      <c r="B24" s="128"/>
    </row>
    <row r="25" spans="1:13" ht="13.8" thickBot="1">
      <c r="A25" s="129" t="s">
        <v>115</v>
      </c>
      <c r="B25" s="130"/>
    </row>
    <row r="26" spans="1:13" ht="21" thickBot="1">
      <c r="A26" s="54" t="s">
        <v>137</v>
      </c>
      <c r="B26" s="66">
        <f>B11*parameters!$B$2+IF(parameters!B4="huurder",businessmodel!B16,0)</f>
        <v>277.56</v>
      </c>
      <c r="C26" s="66">
        <f>C11*parameters!$B$2+IF(parameters!C4="huurder",businessmodel!C16,0)</f>
        <v>18.36</v>
      </c>
      <c r="D26" s="66">
        <f>D11*parameters!$B$2+IF(parameters!D4="huurder",businessmodel!D16,0)</f>
        <v>9.7199999999999989</v>
      </c>
      <c r="E26" s="66">
        <f>E11*parameters!$B$2+IF(parameters!E4="huurder",businessmodel!E16,0)</f>
        <v>38.04</v>
      </c>
      <c r="F26" s="66">
        <f>F11*parameters!$B$2+IF(parameters!F4="huurder",businessmodel!F16,0)</f>
        <v>41.76</v>
      </c>
      <c r="G26" s="66">
        <f>G11*parameters!$B$2+IF(parameters!G4="huurder",businessmodel!G16,0)</f>
        <v>24.96</v>
      </c>
      <c r="H26" s="66">
        <f>H11*parameters!$B$2+IF(parameters!H4="huurder",businessmodel!H16,0)</f>
        <v>88.2</v>
      </c>
      <c r="I26" s="66">
        <f>I11*parameters!$B$2+IF(parameters!I4="huurder",businessmodel!I16,0)</f>
        <v>11.28</v>
      </c>
      <c r="J26" s="66">
        <f>J11*parameters!$B$2+IF(parameters!J4="huurder",businessmodel!J16,0)</f>
        <v>47.76</v>
      </c>
      <c r="K26" s="66">
        <f>K11*parameters!$B$2+IF(parameters!K4="huurder",businessmodel!K16,0)</f>
        <v>5.76</v>
      </c>
      <c r="L26" s="66">
        <f>L11*parameters!$B$2+IF(parameters!M4="huurder",businessmodel!L16,0)</f>
        <v>21.72</v>
      </c>
      <c r="M26" s="66">
        <f>M11*parameters!$B$2+IF(parameters!N4="huurder",businessmodel!M16,0)</f>
        <v>47.76</v>
      </c>
    </row>
    <row r="27" spans="1:13" ht="21" thickBot="1">
      <c r="A27" s="54" t="s">
        <v>138</v>
      </c>
      <c r="B27" s="66">
        <f>IF(parameters!$B$4="corporatie",businessmodel!B16,0)+B18-B23</f>
        <v>31.684210526315791</v>
      </c>
      <c r="C27" s="66">
        <f>IF(parameters!$B$4="corporatie",businessmodel!C16,0)+C18-C23</f>
        <v>-16.631578947368418</v>
      </c>
      <c r="D27" s="66">
        <f>IF(parameters!$B$4="corporatie",businessmodel!D16,0)+D18-D23</f>
        <v>3.4014598540145986</v>
      </c>
      <c r="E27" s="66">
        <f>IF(parameters!$B$4="corporatie",businessmodel!E16,0)+E18-E23</f>
        <v>9</v>
      </c>
      <c r="F27" s="66">
        <f>IF(parameters!$B$4="corporatie",businessmodel!F16,0)+F18-F23</f>
        <v>29</v>
      </c>
      <c r="G27" s="66">
        <f>IF(parameters!$B$4="corporatie",businessmodel!G16,0)+G18-G23</f>
        <v>23.245614035087719</v>
      </c>
      <c r="H27" s="66">
        <f>IF(parameters!$B$4="corporatie",businessmodel!H16,0)+H18-H23</f>
        <v>-6.1403508771928017E-2</v>
      </c>
      <c r="I27" s="66">
        <f>IF(parameters!$B$4="corporatie",businessmodel!I16,0)+I18-I23</f>
        <v>26.491228070175438</v>
      </c>
      <c r="J27" s="66">
        <f>IF(parameters!$B$4="corporatie",businessmodel!J16,0)+J18-J23</f>
        <v>28</v>
      </c>
      <c r="K27" s="66">
        <f>IF(parameters!$B$4="corporatie",businessmodel!K16,0)+K18-K23</f>
        <v>9.5</v>
      </c>
      <c r="L27" s="66">
        <f>IF(parameters!$B$4="corporatie",businessmodel!L16,0)+L18-L23</f>
        <v>7.5765864332603945</v>
      </c>
      <c r="M27" s="66">
        <f>IF(parameters!$B$4="corporatie",businessmodel!M16,0)+M18-M23</f>
        <v>46.5</v>
      </c>
    </row>
    <row r="28" spans="1:13" ht="13.8" thickBot="1">
      <c r="A28" s="54" t="s">
        <v>116</v>
      </c>
      <c r="B28" s="66">
        <f>B26+B27</f>
        <v>309.24421052631578</v>
      </c>
      <c r="C28" s="66">
        <f>C26+C27</f>
        <v>1.7284210526315817</v>
      </c>
      <c r="D28" s="66">
        <f t="shared" ref="D28:M28" si="2">D26+D27</f>
        <v>13.121459854014597</v>
      </c>
      <c r="E28" s="66">
        <f t="shared" si="2"/>
        <v>47.04</v>
      </c>
      <c r="F28" s="66">
        <f t="shared" si="2"/>
        <v>70.759999999999991</v>
      </c>
      <c r="G28" s="66">
        <f t="shared" si="2"/>
        <v>48.20561403508772</v>
      </c>
      <c r="H28" s="66">
        <f t="shared" si="2"/>
        <v>88.138596491228071</v>
      </c>
      <c r="I28" s="66">
        <f t="shared" si="2"/>
        <v>37.771228070175439</v>
      </c>
      <c r="J28" s="66">
        <f t="shared" si="2"/>
        <v>75.759999999999991</v>
      </c>
      <c r="K28" s="66">
        <f t="shared" si="2"/>
        <v>15.26</v>
      </c>
      <c r="L28" s="66">
        <f t="shared" si="2"/>
        <v>29.296586433260394</v>
      </c>
      <c r="M28" s="66">
        <f t="shared" si="2"/>
        <v>94.259999999999991</v>
      </c>
    </row>
    <row r="29" spans="1:13" ht="13.8" thickBot="1">
      <c r="A29" s="54"/>
      <c r="B29" s="55"/>
    </row>
    <row r="30" spans="1:13" ht="13.8" thickBot="1">
      <c r="A30" s="131" t="s">
        <v>117</v>
      </c>
      <c r="B30" s="132"/>
    </row>
    <row r="31" spans="1:13" ht="21" thickBot="1">
      <c r="A31" s="54" t="s">
        <v>118</v>
      </c>
      <c r="B31" s="111">
        <f>B7/B16</f>
        <v>5.5555555555555554</v>
      </c>
      <c r="C31" s="111">
        <f>C7/C16</f>
        <v>31.578947368421051</v>
      </c>
      <c r="D31" s="111">
        <f t="shared" ref="D31:M31" si="3">D7/D16</f>
        <v>15.384615384615385</v>
      </c>
      <c r="E31" s="111">
        <f t="shared" si="3"/>
        <v>8.3333333333333339</v>
      </c>
      <c r="F31" s="111">
        <f t="shared" si="3"/>
        <v>5.4920634920634921</v>
      </c>
      <c r="G31" s="111">
        <f t="shared" si="3"/>
        <v>7.85</v>
      </c>
      <c r="H31" s="111">
        <f t="shared" si="3"/>
        <v>25.454545454545453</v>
      </c>
      <c r="I31" s="111">
        <f t="shared" si="3"/>
        <v>8</v>
      </c>
      <c r="J31" s="111">
        <f t="shared" si="3"/>
        <v>5.371428571428571</v>
      </c>
      <c r="K31" s="111">
        <f t="shared" si="3"/>
        <v>17.5</v>
      </c>
      <c r="L31" s="111">
        <f t="shared" si="3"/>
        <v>22.5</v>
      </c>
      <c r="M31" s="111">
        <f t="shared" si="3"/>
        <v>6.5909090909090908</v>
      </c>
    </row>
    <row r="32" spans="1:13" ht="21" thickBot="1">
      <c r="A32" s="54" t="s">
        <v>98</v>
      </c>
      <c r="B32" s="111">
        <f>B7/(B16+B26)</f>
        <v>0.90481360839667024</v>
      </c>
      <c r="C32" s="111">
        <f>C7/(C16+C26)</f>
        <v>16.059957173447536</v>
      </c>
      <c r="D32" s="111">
        <f t="shared" ref="D32:M32" si="4">D7/(D16+D26)</f>
        <v>8.8028169014084519</v>
      </c>
      <c r="E32" s="111">
        <f t="shared" si="4"/>
        <v>3.8710585585585591</v>
      </c>
      <c r="F32" s="111">
        <f t="shared" si="4"/>
        <v>3.3027873234058802</v>
      </c>
      <c r="G32" s="111">
        <f t="shared" si="4"/>
        <v>3.4919928825622777</v>
      </c>
      <c r="H32" s="111">
        <f t="shared" si="4"/>
        <v>5.0816696914700543</v>
      </c>
      <c r="I32" s="111">
        <f t="shared" si="4"/>
        <v>5.5126791620727671</v>
      </c>
      <c r="J32" s="111">
        <f t="shared" si="4"/>
        <v>2.2716288061865639</v>
      </c>
      <c r="K32" s="111">
        <f t="shared" si="4"/>
        <v>11.824324324324326</v>
      </c>
      <c r="L32" s="111">
        <f t="shared" si="4"/>
        <v>7.0933165195460282</v>
      </c>
      <c r="M32" s="111">
        <f t="shared" si="4"/>
        <v>3.1604184829991286</v>
      </c>
    </row>
    <row r="33" spans="1:14" ht="31.2" thickBot="1">
      <c r="A33" s="54" t="s">
        <v>119</v>
      </c>
      <c r="B33" s="111">
        <f>(B7-B17)/B16</f>
        <v>4.0740740740740744</v>
      </c>
      <c r="C33" s="111">
        <f>(C7-C17)/C16</f>
        <v>13.157894736842104</v>
      </c>
      <c r="D33" s="111">
        <f t="shared" ref="D33:M33" si="5">(D7-D17)/D16</f>
        <v>7.6923076923076925</v>
      </c>
      <c r="E33" s="111">
        <f t="shared" si="5"/>
        <v>5.3030303030303028</v>
      </c>
      <c r="F33" s="111">
        <f t="shared" si="5"/>
        <v>3.9047619047619047</v>
      </c>
      <c r="G33" s="111">
        <f t="shared" si="5"/>
        <v>4.8499999999999996</v>
      </c>
      <c r="H33" s="111">
        <f t="shared" si="5"/>
        <v>23.181818181818183</v>
      </c>
      <c r="I33" s="111">
        <f t="shared" si="5"/>
        <v>6</v>
      </c>
      <c r="J33" s="111">
        <f t="shared" si="5"/>
        <v>3.657142857142857</v>
      </c>
      <c r="K33" s="111">
        <f t="shared" si="5"/>
        <v>12.5</v>
      </c>
      <c r="L33" s="111">
        <f t="shared" si="5"/>
        <v>17.5</v>
      </c>
      <c r="M33" s="111">
        <f t="shared" si="5"/>
        <v>3.1818181818181817</v>
      </c>
    </row>
    <row r="34" spans="1:14" ht="21" thickBot="1">
      <c r="A34" s="54" t="s">
        <v>120</v>
      </c>
      <c r="B34" s="111">
        <f>(B7-B17)/(B16+B26)</f>
        <v>0.66352997949089154</v>
      </c>
      <c r="C34" s="111">
        <f>(C7-C17)/(C16+C26)</f>
        <v>6.6916488222698076</v>
      </c>
      <c r="D34" s="111">
        <f t="shared" ref="D34:M34" si="6">(D7-D17)/(D16+D26)</f>
        <v>4.4014084507042259</v>
      </c>
      <c r="E34" s="111">
        <f t="shared" si="6"/>
        <v>2.463400900900901</v>
      </c>
      <c r="F34" s="111">
        <f t="shared" si="6"/>
        <v>2.3482245131729669</v>
      </c>
      <c r="G34" s="111">
        <f t="shared" si="6"/>
        <v>2.157473309608541</v>
      </c>
      <c r="H34" s="111">
        <f t="shared" si="6"/>
        <v>4.6279491833030848</v>
      </c>
      <c r="I34" s="111">
        <f t="shared" si="6"/>
        <v>4.1345093715545751</v>
      </c>
      <c r="J34" s="111">
        <f t="shared" si="6"/>
        <v>1.5466408893185115</v>
      </c>
      <c r="K34" s="111">
        <f t="shared" si="6"/>
        <v>8.4459459459459474</v>
      </c>
      <c r="L34" s="111">
        <f t="shared" si="6"/>
        <v>5.5170239596469104</v>
      </c>
      <c r="M34" s="111">
        <f t="shared" si="6"/>
        <v>1.5257192676547517</v>
      </c>
    </row>
    <row r="35" spans="1:14">
      <c r="A35" s="68" t="s">
        <v>124</v>
      </c>
      <c r="B35" s="69"/>
      <c r="C35" s="59" t="s">
        <v>177</v>
      </c>
      <c r="H35" s="3" t="s">
        <v>177</v>
      </c>
      <c r="L35" s="3" t="s">
        <v>177</v>
      </c>
    </row>
    <row r="36" spans="1:14">
      <c r="A36" s="94" t="s">
        <v>154</v>
      </c>
      <c r="B36" s="69"/>
      <c r="C36" s="59"/>
    </row>
    <row r="37" spans="1:14" ht="21.6" customHeight="1">
      <c r="A37" s="68" t="s">
        <v>139</v>
      </c>
      <c r="B37" s="93">
        <f>rekensheets!C133</f>
        <v>658.32390001977751</v>
      </c>
      <c r="C37" s="93">
        <f>rekensheets!D133</f>
        <v>1002.0435394246226</v>
      </c>
      <c r="D37" s="93">
        <f>rekensheets!E133</f>
        <v>1002.0435394246226</v>
      </c>
      <c r="E37" s="93">
        <f>rekensheets!F133</f>
        <v>1002.0435394246226</v>
      </c>
      <c r="F37" s="93">
        <f>rekensheets!G133</f>
        <v>1002.0435394246226</v>
      </c>
      <c r="G37" s="93">
        <f>rekensheets!H133</f>
        <v>1002.0435394246226</v>
      </c>
      <c r="H37" s="93">
        <f>rekensheets!I133</f>
        <v>1002.0435394246226</v>
      </c>
      <c r="I37" s="93">
        <f>rekensheets!J133</f>
        <v>1002.0435394246226</v>
      </c>
      <c r="J37" s="93">
        <f>rekensheets!K133</f>
        <v>1002.0435394246226</v>
      </c>
      <c r="K37" s="93">
        <f>rekensheets!L133</f>
        <v>1002.0435394246226</v>
      </c>
      <c r="L37" s="93">
        <f>rekensheets!M133</f>
        <v>1002.0435394246226</v>
      </c>
      <c r="M37" s="93">
        <f>rekensheets!N133</f>
        <v>1002.0435394246226</v>
      </c>
    </row>
    <row r="38" spans="1:14">
      <c r="A38" s="68" t="s">
        <v>140</v>
      </c>
      <c r="B38" s="92">
        <f>rekensheets!C132</f>
        <v>0.2479762656016502</v>
      </c>
      <c r="C38" s="92">
        <f>rekensheets!D132</f>
        <v>-4.5420072728037053E-2</v>
      </c>
      <c r="D38" s="92">
        <f>rekensheets!E132</f>
        <v>5.3872352126987488E-2</v>
      </c>
      <c r="E38" s="92">
        <f>rekensheets!F132</f>
        <v>0.16776540549175878</v>
      </c>
      <c r="F38" s="92">
        <f>rekensheets!G132</f>
        <v>0.27171215784027125</v>
      </c>
      <c r="G38" s="92">
        <f>rekensheets!H132</f>
        <v>0.19606685314092132</v>
      </c>
      <c r="H38" s="92">
        <f>rekensheets!I132</f>
        <v>1.8917027214616855E-2</v>
      </c>
      <c r="I38" s="92">
        <f>rekensheets!J132</f>
        <v>0.18449365542041996</v>
      </c>
      <c r="J38" s="92">
        <f>rekensheets!K132</f>
        <v>0.28124212680144622</v>
      </c>
      <c r="K38" s="92">
        <f>rekensheets!L132</f>
        <v>7.6100278606199723E-2</v>
      </c>
      <c r="L38" s="92">
        <f>rekensheets!M132</f>
        <v>4.520786658890863E-2</v>
      </c>
      <c r="M38" s="92">
        <f>rekensheets!N132</f>
        <v>0.24012778301840387</v>
      </c>
    </row>
    <row r="39" spans="1:14">
      <c r="A39" s="68" t="s">
        <v>152</v>
      </c>
      <c r="B39" s="93">
        <f>rekensheets!C130</f>
        <v>1040.1127369286305</v>
      </c>
      <c r="C39" s="93">
        <f>rekensheets!D130</f>
        <v>3529.7966344460747</v>
      </c>
      <c r="D39" s="93">
        <f>rekensheets!E130</f>
        <v>3529.7966344460747</v>
      </c>
      <c r="E39" s="93">
        <f>rekensheets!F130</f>
        <v>3529.7966344460747</v>
      </c>
      <c r="F39" s="93">
        <f>rekensheets!G130</f>
        <v>3529.7966344460747</v>
      </c>
      <c r="G39" s="93">
        <f>rekensheets!H130</f>
        <v>3529.7966344460747</v>
      </c>
      <c r="H39" s="93">
        <f>rekensheets!I130</f>
        <v>3529.7966344460747</v>
      </c>
      <c r="I39" s="93">
        <f>rekensheets!J130</f>
        <v>3529.7966344460747</v>
      </c>
      <c r="J39" s="93">
        <f>rekensheets!K130</f>
        <v>3529.7966344460747</v>
      </c>
      <c r="K39" s="93">
        <f>rekensheets!L130</f>
        <v>3529.7966344460747</v>
      </c>
      <c r="L39" s="93">
        <f>rekensheets!M130</f>
        <v>3529.7966344460747</v>
      </c>
      <c r="M39" s="93">
        <f>rekensheets!N130</f>
        <v>3529.7966344460747</v>
      </c>
    </row>
    <row r="40" spans="1:14">
      <c r="A40" s="68" t="s">
        <v>153</v>
      </c>
      <c r="B40" s="92">
        <f>rekensheets!C129</f>
        <v>0.25296575822233747</v>
      </c>
      <c r="C40" s="92">
        <f>rekensheets!D129</f>
        <v>4.8447062360701398E-2</v>
      </c>
      <c r="D40" s="92">
        <f>rekensheets!E129</f>
        <v>0.10387596491479578</v>
      </c>
      <c r="E40" s="92">
        <f>rekensheets!F129</f>
        <v>0.18354342183327232</v>
      </c>
      <c r="F40" s="92">
        <f>rekensheets!G129</f>
        <v>0.27648739147544776</v>
      </c>
      <c r="G40" s="92">
        <f>rekensheets!H129</f>
        <v>0.20645954436857994</v>
      </c>
      <c r="H40" s="92">
        <f>rekensheets!I129</f>
        <v>4.8478168384640918E-2</v>
      </c>
      <c r="I40" s="92">
        <f>rekensheets!J129</f>
        <v>0.1960484326938936</v>
      </c>
      <c r="J40" s="92">
        <f>rekensheets!K129</f>
        <v>0.2855254783985266</v>
      </c>
      <c r="K40" s="92">
        <f>rekensheets!L129</f>
        <v>0.1090957247471549</v>
      </c>
      <c r="L40" s="92">
        <f>rekensheets!M129</f>
        <v>8.7282315075001948E-2</v>
      </c>
      <c r="M40" s="92">
        <f>rekensheets!N129</f>
        <v>0.24652223731320189</v>
      </c>
    </row>
    <row r="41" spans="1:14">
      <c r="A41" s="68" t="s">
        <v>124</v>
      </c>
      <c r="B41" s="96">
        <f>B11*0.321</f>
        <v>742.47300000000007</v>
      </c>
      <c r="C41" s="96">
        <f>C11*0.321</f>
        <v>49.113</v>
      </c>
      <c r="D41" s="96">
        <f t="shared" ref="D41:M41" si="7">D11*0.321</f>
        <v>26.001000000000001</v>
      </c>
      <c r="E41" s="96">
        <f t="shared" si="7"/>
        <v>101.75700000000001</v>
      </c>
      <c r="F41" s="96">
        <f t="shared" si="7"/>
        <v>111.708</v>
      </c>
      <c r="G41" s="96">
        <f t="shared" si="7"/>
        <v>66.768000000000001</v>
      </c>
      <c r="H41" s="96">
        <f t="shared" si="7"/>
        <v>235.935</v>
      </c>
      <c r="I41" s="96">
        <f t="shared" si="7"/>
        <v>30.173999999999999</v>
      </c>
      <c r="J41" s="96">
        <f t="shared" si="7"/>
        <v>127.75800000000001</v>
      </c>
      <c r="K41" s="96">
        <f t="shared" si="7"/>
        <v>15.408000000000001</v>
      </c>
      <c r="L41" s="96">
        <f t="shared" si="7"/>
        <v>58.100999999999999</v>
      </c>
      <c r="M41" s="96">
        <f t="shared" si="7"/>
        <v>127.75800000000001</v>
      </c>
    </row>
    <row r="42" spans="1:14">
      <c r="A42" s="68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</row>
    <row r="43" spans="1:14">
      <c r="A43" s="68" t="s">
        <v>175</v>
      </c>
      <c r="B43" s="122" t="e">
        <f>rekensheets!C223</f>
        <v>#NUM!</v>
      </c>
      <c r="C43" s="122">
        <f>rekensheets!D223</f>
        <v>4.7298978871638919E-2</v>
      </c>
      <c r="D43" s="122">
        <f>rekensheets!E223</f>
        <v>0.1528260708070881</v>
      </c>
      <c r="E43" s="122">
        <f>rekensheets!F223</f>
        <v>0.40396981138199295</v>
      </c>
      <c r="F43" s="122">
        <f>rekensheets!G223</f>
        <v>0.49484155406038011</v>
      </c>
      <c r="G43" s="122">
        <f>rekensheets!H223</f>
        <v>0.46083340479811863</v>
      </c>
      <c r="H43" s="122">
        <f>rekensheets!I223</f>
        <v>0.28439744506725217</v>
      </c>
      <c r="I43" s="122">
        <f>rekensheets!J223</f>
        <v>0.27121337898970754</v>
      </c>
      <c r="J43" s="122">
        <f>rekensheets!K223</f>
        <v>0.86089878185537061</v>
      </c>
      <c r="K43" s="122">
        <f>rekensheets!L223</f>
        <v>0.12175441606367787</v>
      </c>
      <c r="L43" s="122">
        <f>rekensheets!M223</f>
        <v>0.20342262717317583</v>
      </c>
      <c r="M43" s="122">
        <f>rekensheets!N223</f>
        <v>0.52782349268747453</v>
      </c>
    </row>
    <row r="44" spans="1:14">
      <c r="A44" s="68" t="s">
        <v>159</v>
      </c>
      <c r="B44" s="103">
        <f>rekensheets!C224</f>
        <v>4932.3849140831817</v>
      </c>
      <c r="C44" s="103">
        <f>rekensheets!D224</f>
        <v>289.56403713747147</v>
      </c>
      <c r="D44" s="103">
        <f>rekensheets!E224</f>
        <v>355.3659923747507</v>
      </c>
      <c r="E44" s="103">
        <f>rekensheets!F224</f>
        <v>1519.8647123756746</v>
      </c>
      <c r="F44" s="103">
        <f>rekensheets!G224</f>
        <v>2308.117077184178</v>
      </c>
      <c r="G44" s="103">
        <f>rekensheets!H224</f>
        <v>1147.8492444785973</v>
      </c>
      <c r="H44" s="103">
        <f>rekensheets!I224</f>
        <v>2486.0455348155806</v>
      </c>
      <c r="I44" s="103">
        <f>rekensheets!J224</f>
        <v>862.20578629415263</v>
      </c>
      <c r="J44" s="103">
        <f>rekensheets!K224</f>
        <v>1956.6410686820996</v>
      </c>
      <c r="K44" s="103">
        <f>rekensheets!L224</f>
        <v>357.5261685009732</v>
      </c>
      <c r="L44" s="103">
        <f>rekensheets!M224</f>
        <v>702.58521010436061</v>
      </c>
      <c r="M44" s="103">
        <f>rekensheets!N224</f>
        <v>2412.6819143359194</v>
      </c>
    </row>
    <row r="45" spans="1:14">
      <c r="A45" s="68" t="s">
        <v>176</v>
      </c>
      <c r="B45" s="92" t="e">
        <f>rekensheets!C220</f>
        <v>#NUM!</v>
      </c>
      <c r="C45" s="92">
        <f>rekensheets!D220</f>
        <v>9.1654042382721013E-2</v>
      </c>
      <c r="D45" s="92">
        <f>rekensheets!E220</f>
        <v>0.171149196685775</v>
      </c>
      <c r="E45" s="92">
        <f>rekensheets!F220</f>
        <v>0.40506223030839839</v>
      </c>
      <c r="F45" s="92">
        <f>rekensheets!G220</f>
        <v>0.49524606779610103</v>
      </c>
      <c r="G45" s="92">
        <f>rekensheets!H220</f>
        <v>0.46141488414020126</v>
      </c>
      <c r="H45" s="92">
        <f>rekensheets!I220</f>
        <v>0.28705933180508647</v>
      </c>
      <c r="I45" s="92">
        <f>rekensheets!J220</f>
        <v>0.27577496769696408</v>
      </c>
      <c r="J45" s="92">
        <f>rekensheets!K220</f>
        <v>0.86090992457237481</v>
      </c>
      <c r="K45" s="92">
        <f>rekensheets!L220</f>
        <v>0.14347927247090708</v>
      </c>
      <c r="L45" s="92">
        <f>rekensheets!M220</f>
        <v>0.2128703943365009</v>
      </c>
      <c r="M45" s="92">
        <f>rekensheets!N220</f>
        <v>0.52811209479923482</v>
      </c>
      <c r="N45" s="103"/>
    </row>
    <row r="46" spans="1:14">
      <c r="A46" s="68" t="s">
        <v>160</v>
      </c>
      <c r="B46" s="104">
        <f>rekensheets!C221</f>
        <v>24458.170286021523</v>
      </c>
      <c r="C46" s="104">
        <f>rekensheets!D221</f>
        <v>2804.8760170332557</v>
      </c>
      <c r="D46" s="104">
        <f>rekensheets!E221</f>
        <v>1812.4963225363613</v>
      </c>
      <c r="E46" s="104">
        <f>rekensheets!F221</f>
        <v>5276.1259486895196</v>
      </c>
      <c r="F46" s="104">
        <f>rekensheets!G221</f>
        <v>7673.517560656448</v>
      </c>
      <c r="G46" s="104">
        <f>rekensheets!H221</f>
        <v>3680.2653195091066</v>
      </c>
      <c r="H46" s="104">
        <f>rekensheets!I221</f>
        <v>7573.9702590837878</v>
      </c>
      <c r="I46" s="104">
        <f>rekensheets!J221</f>
        <v>2927.0952529740612</v>
      </c>
      <c r="J46" s="104">
        <f>rekensheets!K221</f>
        <v>6157.3635043079266</v>
      </c>
      <c r="K46" s="104">
        <f>rekensheets!L221</f>
        <v>1558.2547524272852</v>
      </c>
      <c r="L46" s="104">
        <f>rekensheets!M221</f>
        <v>2524.3349417102168</v>
      </c>
      <c r="M46" s="104">
        <f>rekensheets!N221</f>
        <v>7443.3090711254072</v>
      </c>
    </row>
    <row r="47" spans="1:14">
      <c r="A47" s="59"/>
    </row>
    <row r="50" spans="1:13" ht="13.8">
      <c r="A50" s="3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</row>
    <row r="51" spans="1:13" ht="13.8">
      <c r="A51" s="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</row>
    <row r="52" spans="1:13" ht="13.8">
      <c r="A52" s="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</row>
    <row r="53" spans="1:13">
      <c r="B53" s="124"/>
      <c r="C53" s="125"/>
      <c r="D53" s="124"/>
      <c r="E53" s="124"/>
      <c r="F53" s="124"/>
      <c r="G53" s="124"/>
      <c r="H53" s="125"/>
      <c r="I53" s="124"/>
      <c r="J53" s="124"/>
      <c r="K53" s="125"/>
      <c r="L53" s="125"/>
      <c r="M53" s="124"/>
    </row>
    <row r="54" spans="1:13" ht="13.8">
      <c r="C54" s="76"/>
      <c r="D54" s="77"/>
      <c r="E54" s="76"/>
      <c r="F54" s="75"/>
      <c r="G54" s="77"/>
      <c r="H54" s="76"/>
      <c r="I54" s="76"/>
      <c r="J54" s="77"/>
      <c r="K54" s="76"/>
      <c r="L54" s="74"/>
      <c r="M54" s="73"/>
    </row>
    <row r="56" spans="1:13" ht="13.8">
      <c r="C56" s="76"/>
      <c r="D56" s="77"/>
      <c r="E56" s="76"/>
      <c r="F56" s="75"/>
      <c r="G56" s="77"/>
      <c r="H56" s="76"/>
      <c r="I56" s="76"/>
      <c r="J56" s="77"/>
      <c r="K56" s="76"/>
      <c r="L56" s="74"/>
      <c r="M56" s="73"/>
    </row>
    <row r="57" spans="1:13" ht="13.8">
      <c r="C57" s="76"/>
      <c r="D57" s="77"/>
      <c r="E57" s="76"/>
      <c r="F57" s="75"/>
      <c r="G57" s="77"/>
      <c r="H57" s="76"/>
      <c r="I57" s="76"/>
      <c r="J57" s="77"/>
      <c r="K57" s="76"/>
      <c r="L57" s="74"/>
      <c r="M57" s="73"/>
    </row>
    <row r="58" spans="1:13" ht="13.8">
      <c r="C58" s="56"/>
      <c r="D58" s="77"/>
      <c r="E58" s="76"/>
      <c r="F58" s="75"/>
      <c r="G58" s="77"/>
      <c r="H58" s="76"/>
      <c r="I58" s="76"/>
      <c r="J58" s="77"/>
      <c r="K58" s="76"/>
      <c r="L58" s="74"/>
      <c r="M58" s="73"/>
    </row>
    <row r="59" spans="1:13" ht="13.8">
      <c r="C59" s="76"/>
      <c r="D59" s="77"/>
      <c r="E59" s="76"/>
      <c r="F59" s="75"/>
      <c r="G59" s="77"/>
      <c r="H59" s="76"/>
      <c r="I59" s="76"/>
      <c r="J59" s="77"/>
      <c r="K59" s="76"/>
      <c r="L59" s="74"/>
      <c r="M59" s="73"/>
    </row>
    <row r="60" spans="1:13" ht="13.8">
      <c r="C60" s="76"/>
      <c r="D60" s="77"/>
      <c r="E60" s="76"/>
      <c r="F60" s="75"/>
      <c r="G60" s="77"/>
      <c r="H60" s="76"/>
      <c r="I60" s="76"/>
      <c r="J60" s="77"/>
      <c r="K60" s="76"/>
      <c r="L60" s="74"/>
      <c r="M60" s="73"/>
    </row>
    <row r="61" spans="1:13" ht="13.8">
      <c r="C61" s="76"/>
      <c r="D61" s="77"/>
      <c r="E61" s="76"/>
      <c r="F61" s="75"/>
      <c r="G61" s="77"/>
      <c r="H61" s="76"/>
      <c r="I61" s="76"/>
      <c r="J61" s="77"/>
      <c r="K61" s="76"/>
      <c r="L61" s="74"/>
      <c r="M61" s="73"/>
    </row>
    <row r="62" spans="1:13" ht="13.8">
      <c r="C62" s="76"/>
      <c r="D62" s="77"/>
      <c r="E62" s="76"/>
      <c r="F62" s="75"/>
      <c r="G62" s="77"/>
      <c r="H62" s="76"/>
      <c r="I62" s="76"/>
      <c r="J62" s="77"/>
      <c r="K62" s="76"/>
      <c r="L62" s="74"/>
      <c r="M62" s="73"/>
    </row>
    <row r="63" spans="1:13" ht="13.8">
      <c r="C63" s="76"/>
      <c r="D63" s="77"/>
      <c r="E63" s="76"/>
      <c r="F63" s="75"/>
      <c r="G63" s="77"/>
      <c r="H63" s="76"/>
      <c r="I63" s="76"/>
      <c r="J63" s="77"/>
      <c r="K63" s="76"/>
      <c r="L63" s="74"/>
      <c r="M63" s="73"/>
    </row>
    <row r="64" spans="1:13" ht="13.8">
      <c r="C64" s="76"/>
      <c r="D64" s="77"/>
      <c r="E64" s="76"/>
      <c r="F64" s="75"/>
      <c r="G64" s="77"/>
      <c r="H64" s="76"/>
      <c r="I64" s="76"/>
      <c r="J64" s="77"/>
      <c r="K64" s="76"/>
      <c r="L64" s="74"/>
      <c r="M64" s="73"/>
    </row>
    <row r="65" spans="3:13" ht="13.8">
      <c r="C65" s="76"/>
      <c r="D65" s="77"/>
      <c r="E65" s="76"/>
      <c r="F65" s="75"/>
      <c r="G65" s="77"/>
      <c r="H65" s="76"/>
      <c r="I65" s="76"/>
      <c r="J65" s="77"/>
      <c r="K65" s="76"/>
      <c r="L65" s="74"/>
      <c r="M65" s="73"/>
    </row>
    <row r="66" spans="3:13" ht="13.8">
      <c r="C66" s="76"/>
      <c r="D66" s="77"/>
      <c r="E66" s="76"/>
      <c r="F66" s="75"/>
      <c r="G66" s="77"/>
      <c r="H66" s="76"/>
      <c r="I66" s="76"/>
      <c r="J66" s="77"/>
      <c r="K66" s="76"/>
      <c r="L66" s="74"/>
      <c r="M66" s="73"/>
    </row>
    <row r="67" spans="3:13" ht="13.8">
      <c r="C67" s="76"/>
      <c r="D67" s="77"/>
      <c r="E67" s="76"/>
      <c r="F67" s="75"/>
      <c r="G67" s="77"/>
      <c r="H67" s="76"/>
      <c r="I67" s="76"/>
      <c r="J67" s="77"/>
      <c r="K67" s="76"/>
      <c r="L67" s="74"/>
      <c r="M67" s="73"/>
    </row>
    <row r="68" spans="3:13" ht="13.8">
      <c r="C68" s="76"/>
      <c r="D68" s="77"/>
      <c r="E68" s="76"/>
      <c r="F68" s="75"/>
      <c r="G68" s="77"/>
      <c r="H68" s="76"/>
      <c r="I68" s="76"/>
      <c r="J68" s="77"/>
      <c r="K68" s="76"/>
      <c r="L68" s="74"/>
      <c r="M68" s="73"/>
    </row>
    <row r="69" spans="3:13">
      <c r="C69" s="19"/>
      <c r="D69" s="19"/>
      <c r="E69" s="19"/>
      <c r="F69" s="19"/>
      <c r="G69" s="19"/>
      <c r="H69" s="19"/>
      <c r="I69" s="19"/>
      <c r="J69" s="19"/>
      <c r="K69" s="19"/>
    </row>
    <row r="70" spans="3:13">
      <c r="C70" s="19"/>
      <c r="D70" s="19"/>
      <c r="E70" s="19"/>
      <c r="F70" s="19"/>
      <c r="G70" s="19"/>
      <c r="H70" s="19"/>
      <c r="I70" s="19"/>
      <c r="J70" s="19"/>
      <c r="K70" s="19"/>
    </row>
    <row r="71" spans="3:13">
      <c r="C71" s="19"/>
      <c r="D71" s="19"/>
      <c r="E71" s="19"/>
      <c r="F71" s="19"/>
      <c r="G71" s="19"/>
      <c r="H71" s="19"/>
      <c r="I71" s="19"/>
      <c r="J71" s="19"/>
      <c r="K71" s="19"/>
    </row>
    <row r="72" spans="3:13">
      <c r="C72" s="19"/>
      <c r="D72" s="19"/>
      <c r="E72" s="19"/>
      <c r="F72" s="19"/>
      <c r="G72" s="19"/>
      <c r="H72" s="19"/>
      <c r="I72" s="19"/>
      <c r="J72" s="19"/>
      <c r="K72" s="19"/>
    </row>
    <row r="73" spans="3:13">
      <c r="C73" s="19"/>
      <c r="D73" s="19"/>
      <c r="E73" s="19"/>
      <c r="F73" s="19"/>
      <c r="G73" s="19"/>
      <c r="H73" s="19"/>
      <c r="I73" s="19"/>
      <c r="J73" s="19"/>
      <c r="K73" s="19"/>
    </row>
    <row r="74" spans="3:13">
      <c r="C74" s="19"/>
      <c r="D74" s="19"/>
      <c r="E74" s="19"/>
      <c r="F74" s="19"/>
      <c r="G74" s="19"/>
      <c r="H74" s="19"/>
      <c r="I74" s="19"/>
      <c r="J74" s="19"/>
      <c r="K74" s="19"/>
    </row>
    <row r="78" spans="3:13">
      <c r="C78" s="56"/>
    </row>
    <row r="79" spans="3:13">
      <c r="C79" s="56"/>
    </row>
    <row r="80" spans="3:13">
      <c r="C80" s="56"/>
    </row>
    <row r="81" spans="3:3">
      <c r="C81" s="56"/>
    </row>
    <row r="82" spans="3:3">
      <c r="C82" s="56"/>
    </row>
    <row r="83" spans="3:3">
      <c r="C83" s="56"/>
    </row>
    <row r="84" spans="3:3">
      <c r="C84" s="56"/>
    </row>
    <row r="85" spans="3:3">
      <c r="C85" s="56"/>
    </row>
    <row r="86" spans="3:3">
      <c r="C86" s="56"/>
    </row>
    <row r="87" spans="3:3">
      <c r="C87" s="56"/>
    </row>
    <row r="88" spans="3:3">
      <c r="C88" s="56"/>
    </row>
    <row r="89" spans="3:3">
      <c r="C89" s="56"/>
    </row>
    <row r="93" spans="3:3">
      <c r="C93" t="s">
        <v>144</v>
      </c>
    </row>
  </sheetData>
  <mergeCells count="8">
    <mergeCell ref="A24:B24"/>
    <mergeCell ref="A25:B25"/>
    <mergeCell ref="A30:B30"/>
    <mergeCell ref="A4:B4"/>
    <mergeCell ref="A12:B12"/>
    <mergeCell ref="A13:B13"/>
    <mergeCell ref="A19:B19"/>
    <mergeCell ref="A20:B2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B8" sqref="B8"/>
    </sheetView>
  </sheetViews>
  <sheetFormatPr defaultRowHeight="13.2"/>
  <cols>
    <col min="1" max="1" width="65.6640625" customWidth="1"/>
    <col min="2" max="2" width="31" customWidth="1"/>
    <col min="3" max="3" width="14.5546875" customWidth="1"/>
    <col min="4" max="4" width="10.33203125" customWidth="1"/>
    <col min="6" max="6" width="25.44140625" customWidth="1"/>
    <col min="7" max="7" width="13.6640625" customWidth="1"/>
  </cols>
  <sheetData>
    <row r="1" spans="1:4">
      <c r="A1" s="70" t="s">
        <v>135</v>
      </c>
      <c r="B1" s="3" t="s">
        <v>126</v>
      </c>
      <c r="C1" s="3" t="s">
        <v>127</v>
      </c>
    </row>
    <row r="2" spans="1:4">
      <c r="A2" s="3" t="s">
        <v>122</v>
      </c>
      <c r="B2" s="62">
        <v>0.12</v>
      </c>
      <c r="C2" s="3" t="s">
        <v>128</v>
      </c>
    </row>
    <row r="3" spans="1:4">
      <c r="A3" s="3" t="s">
        <v>125</v>
      </c>
      <c r="B3" s="33">
        <v>0</v>
      </c>
      <c r="C3" s="3" t="s">
        <v>129</v>
      </c>
    </row>
    <row r="4" spans="1:4">
      <c r="A4" s="3" t="s">
        <v>134</v>
      </c>
      <c r="B4" s="33" t="s">
        <v>1</v>
      </c>
      <c r="C4" s="3"/>
    </row>
    <row r="5" spans="1:4">
      <c r="A5" s="3" t="s">
        <v>178</v>
      </c>
      <c r="B5" s="33"/>
      <c r="C5" s="3"/>
    </row>
    <row r="6" spans="1:4">
      <c r="A6" s="3"/>
      <c r="B6" s="33"/>
      <c r="C6" s="3"/>
    </row>
    <row r="7" spans="1:4">
      <c r="A7" s="70" t="s">
        <v>131</v>
      </c>
      <c r="B7" s="33"/>
      <c r="C7" s="3"/>
    </row>
    <row r="8" spans="1:4">
      <c r="A8" s="3" t="s">
        <v>130</v>
      </c>
      <c r="B8" s="33">
        <v>0.05</v>
      </c>
      <c r="C8" s="3"/>
    </row>
    <row r="9" spans="1:4">
      <c r="A9" s="3" t="s">
        <v>146</v>
      </c>
      <c r="B9" s="78">
        <v>10</v>
      </c>
      <c r="C9" s="3"/>
    </row>
    <row r="10" spans="1:4">
      <c r="A10" s="3" t="s">
        <v>147</v>
      </c>
      <c r="B10" s="78">
        <v>15</v>
      </c>
      <c r="C10" s="3"/>
    </row>
    <row r="11" spans="1:4" s="1" customFormat="1">
      <c r="A11" s="4" t="s">
        <v>136</v>
      </c>
      <c r="B11" s="71">
        <v>0.03</v>
      </c>
      <c r="C11" s="4"/>
      <c r="D11" s="2"/>
    </row>
    <row r="12" spans="1:4" s="1" customFormat="1">
      <c r="A12" s="4" t="s">
        <v>132</v>
      </c>
      <c r="B12" s="71">
        <v>0.03</v>
      </c>
      <c r="C12" s="4"/>
      <c r="D12" s="2"/>
    </row>
    <row r="13" spans="1:4" s="1" customFormat="1">
      <c r="A13" s="5" t="s">
        <v>133</v>
      </c>
      <c r="B13" s="72">
        <v>0</v>
      </c>
      <c r="C13" s="4"/>
      <c r="D13" s="2"/>
    </row>
    <row r="14" spans="1:4" s="1" customFormat="1">
      <c r="A14" s="95" t="s">
        <v>156</v>
      </c>
      <c r="B14" s="71">
        <v>0.03</v>
      </c>
      <c r="C14" s="4"/>
      <c r="D14" s="2"/>
    </row>
    <row r="15" spans="1:4">
      <c r="A15" s="95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rekensheets!#REF!</xm:f>
          </x14:formula1>
          <xm:sqref>B9</xm:sqref>
        </x14:dataValidation>
        <x14:dataValidation type="list" allowBlank="1" showInputMessage="1" showErrorMessage="1">
          <x14:formula1>
            <xm:f>rekensheets!A231:A232</xm:f>
          </x14:formula1>
          <xm:sqref>B4:B5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8"/>
  <sheetViews>
    <sheetView topLeftCell="A179" zoomScale="60" zoomScaleNormal="60" workbookViewId="0">
      <selection activeCell="C191" sqref="C1:C1048576"/>
    </sheetView>
  </sheetViews>
  <sheetFormatPr defaultRowHeight="13.2"/>
  <cols>
    <col min="1" max="1" width="45.6640625" style="81" customWidth="1"/>
    <col min="2" max="2" width="8.88671875" style="99"/>
    <col min="3" max="3" width="15.5546875" style="81" hidden="1" customWidth="1"/>
    <col min="4" max="4" width="14.6640625" style="81" customWidth="1"/>
    <col min="5" max="10" width="8.88671875" style="81"/>
    <col min="11" max="11" width="11.44140625" style="81" customWidth="1"/>
    <col min="12" max="16384" width="8.88671875" style="81"/>
  </cols>
  <sheetData>
    <row r="1" spans="1:44" s="89" customFormat="1" ht="66">
      <c r="A1" s="106" t="s">
        <v>155</v>
      </c>
      <c r="B1" s="106" t="s">
        <v>141</v>
      </c>
      <c r="C1" s="89" t="str">
        <f>businessmodel!B2</f>
        <v>aanlichten van gevels</v>
      </c>
      <c r="D1" s="89" t="str">
        <f>businessmodel!C2</f>
        <v>verlichting op parkeerplaatsen buiten</v>
      </c>
      <c r="E1" s="89" t="str">
        <f>businessmodel!D2</f>
        <v>toegangsdeuren/achterpadverlichting</v>
      </c>
      <c r="F1" s="89" t="str">
        <f>businessmodel!E2</f>
        <v>hoofdingang / entree</v>
      </c>
      <c r="G1" s="89" t="str">
        <f>businessmodel!F2</f>
        <v>entreegebied na hoofdingang</v>
      </c>
      <c r="H1" s="89" t="str">
        <f>businessmodel!G2</f>
        <v>parkeergarage</v>
      </c>
      <c r="I1" s="89" t="str">
        <f>businessmodel!H2</f>
        <v>berging manshoge tussenwanden</v>
      </c>
      <c r="J1" s="89" t="str">
        <f>businessmodel!I2</f>
        <v>bergingsgang vol bochten</v>
      </c>
      <c r="K1" s="89" t="str">
        <f>businessmodel!J2</f>
        <v>binnengalerij</v>
      </c>
      <c r="L1" s="89" t="str">
        <f>businessmodel!K2</f>
        <v>buitengalerij met dimmen</v>
      </c>
      <c r="M1" s="89" t="str">
        <f>businessmodel!L2</f>
        <v>trappenhuizen 1</v>
      </c>
      <c r="N1" s="89" t="str">
        <f>businessmodel!M2</f>
        <v>trappenhuizen 2</v>
      </c>
    </row>
    <row r="2" spans="1:44" ht="13.8">
      <c r="B2" s="98">
        <v>1</v>
      </c>
      <c r="C2" s="82">
        <f>IF(parameters!$B$4="corporatie",-businessmodel!B$16*(1+parameters!$B$11)^rekensheets!$B2,0)-IF(ROUNDDOWN(MOD($B2,parameters!$B$10),0)=parameters!$B$9,businessmodel!B$17*(1+parameters!$B$12)^rekensheets!$B2,0)</f>
        <v>-55.620000000000005</v>
      </c>
      <c r="D2" s="82">
        <f>IF(parameters!$B$4="corporatie",-businessmodel!C$16*(1+parameters!$B$11)^rekensheets!$B2,0)-IF(ROUNDDOWN(MOD($B2,parameters!$B$10),0)=parameters!$B$9,businessmodel!C$17*(1+parameters!$B$12)^rekensheets!$B2,0)</f>
        <v>-19.57</v>
      </c>
      <c r="E2" s="82">
        <f>IF(parameters!$B$4="corporatie",-businessmodel!D$16*(1+parameters!$B$11)^rekensheets!$B2,0)-IF(ROUNDDOWN(MOD($B2,parameters!$B$10),0)=parameters!$B$9,businessmodel!D$17*(1+parameters!$B$12)^rekensheets!$B2,0)</f>
        <v>-13.39</v>
      </c>
      <c r="F2" s="82">
        <f>IF(parameters!$B$4="corporatie",-businessmodel!E$16*(1+parameters!$B$11)^rekensheets!$B2,0)-IF(ROUNDDOWN(MOD($B2,parameters!$B$10),0)=parameters!$B$9,businessmodel!E$17*(1+parameters!$B$12)^rekensheets!$B2,0)</f>
        <v>-33.99</v>
      </c>
      <c r="G2" s="82">
        <f>IF(parameters!$B$4="corporatie",-businessmodel!F$16*(1+parameters!$B$11)^rekensheets!$B2,0)-IF(ROUNDDOWN(MOD($B2,parameters!$B$10),0)=parameters!$B$9,businessmodel!F$17*(1+parameters!$B$12)^rekensheets!$B2,0)</f>
        <v>-64.89</v>
      </c>
      <c r="H2" s="82">
        <f>IF(parameters!$B$4="corporatie",-businessmodel!G$16*(1+parameters!$B$11)^rekensheets!$B2,0)-IF(ROUNDDOWN(MOD($B2,parameters!$B$10),0)=parameters!$B$9,businessmodel!G$17*(1+parameters!$B$12)^rekensheets!$B2,0)</f>
        <v>-20.6</v>
      </c>
      <c r="I2" s="82">
        <f>IF(parameters!$B$4="corporatie",-businessmodel!H$16*(1+parameters!$B$11)^rekensheets!$B2,0)-IF(ROUNDDOWN(MOD($B2,parameters!$B$10),0)=parameters!$B$9,businessmodel!H$17*(1+parameters!$B$12)^rekensheets!$B2,0)</f>
        <v>-22.66</v>
      </c>
      <c r="J2" s="82">
        <f>IF(parameters!$B$4="corporatie",-businessmodel!I$16*(1+parameters!$B$11)^rekensheets!$B2,0)-IF(ROUNDDOWN(MOD($B2,parameters!$B$10),0)=parameters!$B$9,businessmodel!I$17*(1+parameters!$B$12)^rekensheets!$B2,0)</f>
        <v>-25.75</v>
      </c>
      <c r="K2" s="82">
        <f>IF(parameters!$B$4="corporatie",-businessmodel!J$16*(1+parameters!$B$11)^rekensheets!$B2,0)-IF(ROUNDDOWN(MOD($B2,parameters!$B$10),0)=parameters!$B$9,businessmodel!J$17*(1+parameters!$B$12)^rekensheets!$B2,0)</f>
        <v>-36.050000000000004</v>
      </c>
      <c r="L2" s="82">
        <f>IF(parameters!$B$4="corporatie",-businessmodel!K$16*(1+parameters!$B$11)^rekensheets!$B2,0)-IF(ROUNDDOWN(MOD($B2,parameters!$B$10),0)=parameters!$B$9,businessmodel!K$17*(1+parameters!$B$12)^rekensheets!$B2,0)</f>
        <v>-12.36</v>
      </c>
      <c r="M2" s="82">
        <f>IF(parameters!$B$4="corporatie",-businessmodel!L$16*(1+parameters!$B$11)^rekensheets!$B2,0)-IF(ROUNDDOWN(MOD($B2,parameters!$B$10),0)=parameters!$B$9,businessmodel!L$17*(1+parameters!$B$12)^rekensheets!$B2,0)</f>
        <v>-10.3</v>
      </c>
      <c r="N2" s="82">
        <f>IF(parameters!$B$4="corporatie",-businessmodel!M$16*(1+parameters!$B$11)^rekensheets!$B2,0)-IF(ROUNDDOWN(MOD($B2,parameters!$B$10),0)=parameters!$B$9,businessmodel!M$17*(1+parameters!$B$12)^rekensheets!$B2,0)</f>
        <v>-45.32</v>
      </c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</row>
    <row r="3" spans="1:44" ht="13.8">
      <c r="B3" s="98">
        <v>2</v>
      </c>
      <c r="C3" s="82">
        <f>IF(parameters!$B$4="corporatie",-businessmodel!B$16*(1+parameters!$B$11)^rekensheets!$B3,0)-IF(ROUNDDOWN(MOD($B3,parameters!$B$10),0)=parameters!$B$9,businessmodel!B$17*(1+parameters!$B$12)^rekensheets!$B3,0)</f>
        <v>-57.288599999999995</v>
      </c>
      <c r="D3" s="82">
        <f>IF(parameters!$B$4="corporatie",-businessmodel!C$16*(1+parameters!$B$11)^rekensheets!$B3,0)-IF(ROUNDDOWN(MOD($B3,parameters!$B$10),0)=parameters!$B$9,businessmodel!C$17*(1+parameters!$B$12)^rekensheets!$B3,0)</f>
        <v>-20.1571</v>
      </c>
      <c r="E3" s="82">
        <f>IF(parameters!$B$4="corporatie",-businessmodel!D$16*(1+parameters!$B$11)^rekensheets!$B3,0)-IF(ROUNDDOWN(MOD($B3,parameters!$B$10),0)=parameters!$B$9,businessmodel!D$17*(1+parameters!$B$12)^rekensheets!$B3,0)</f>
        <v>-13.791699999999999</v>
      </c>
      <c r="F3" s="82">
        <f>IF(parameters!$B$4="corporatie",-businessmodel!E$16*(1+parameters!$B$11)^rekensheets!$B3,0)-IF(ROUNDDOWN(MOD($B3,parameters!$B$10),0)=parameters!$B$9,businessmodel!E$17*(1+parameters!$B$12)^rekensheets!$B3,0)</f>
        <v>-35.009699999999995</v>
      </c>
      <c r="G3" s="82">
        <f>IF(parameters!$B$4="corporatie",-businessmodel!F$16*(1+parameters!$B$11)^rekensheets!$B3,0)-IF(ROUNDDOWN(MOD($B3,parameters!$B$10),0)=parameters!$B$9,businessmodel!F$17*(1+parameters!$B$12)^rekensheets!$B3,0)</f>
        <v>-66.836699999999993</v>
      </c>
      <c r="H3" s="82">
        <f>IF(parameters!$B$4="corporatie",-businessmodel!G$16*(1+parameters!$B$11)^rekensheets!$B3,0)-IF(ROUNDDOWN(MOD($B3,parameters!$B$10),0)=parameters!$B$9,businessmodel!G$17*(1+parameters!$B$12)^rekensheets!$B3,0)</f>
        <v>-21.218</v>
      </c>
      <c r="I3" s="82">
        <f>IF(parameters!$B$4="corporatie",-businessmodel!H$16*(1+parameters!$B$11)^rekensheets!$B3,0)-IF(ROUNDDOWN(MOD($B3,parameters!$B$10),0)=parameters!$B$9,businessmodel!H$17*(1+parameters!$B$12)^rekensheets!$B3,0)</f>
        <v>-23.3398</v>
      </c>
      <c r="J3" s="82">
        <f>IF(parameters!$B$4="corporatie",-businessmodel!I$16*(1+parameters!$B$11)^rekensheets!$B3,0)-IF(ROUNDDOWN(MOD($B3,parameters!$B$10),0)=parameters!$B$9,businessmodel!I$17*(1+parameters!$B$12)^rekensheets!$B3,0)</f>
        <v>-26.522499999999997</v>
      </c>
      <c r="K3" s="82">
        <f>IF(parameters!$B$4="corporatie",-businessmodel!J$16*(1+parameters!$B$11)^rekensheets!$B3,0)-IF(ROUNDDOWN(MOD($B3,parameters!$B$10),0)=parameters!$B$9,businessmodel!J$17*(1+parameters!$B$12)^rekensheets!$B3,0)</f>
        <v>-37.131499999999996</v>
      </c>
      <c r="L3" s="82">
        <f>IF(parameters!$B$4="corporatie",-businessmodel!K$16*(1+parameters!$B$11)^rekensheets!$B3,0)-IF(ROUNDDOWN(MOD($B3,parameters!$B$10),0)=parameters!$B$9,businessmodel!K$17*(1+parameters!$B$12)^rekensheets!$B3,0)</f>
        <v>-12.730799999999999</v>
      </c>
      <c r="M3" s="82">
        <f>IF(parameters!$B$4="corporatie",-businessmodel!L$16*(1+parameters!$B$11)^rekensheets!$B3,0)-IF(ROUNDDOWN(MOD($B3,parameters!$B$10),0)=parameters!$B$9,businessmodel!L$17*(1+parameters!$B$12)^rekensheets!$B3,0)</f>
        <v>-10.609</v>
      </c>
      <c r="N3" s="82">
        <f>IF(parameters!$B$4="corporatie",-businessmodel!M$16*(1+parameters!$B$11)^rekensheets!$B3,0)-IF(ROUNDDOWN(MOD($B3,parameters!$B$10),0)=parameters!$B$9,businessmodel!M$17*(1+parameters!$B$12)^rekensheets!$B3,0)</f>
        <v>-46.679600000000001</v>
      </c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</row>
    <row r="4" spans="1:44" ht="13.8">
      <c r="B4" s="98">
        <v>3</v>
      </c>
      <c r="C4" s="82">
        <f>IF(parameters!$B$4="corporatie",-businessmodel!B$16*(1+parameters!$B$11)^rekensheets!$B4,0)-IF(ROUNDDOWN(MOD($B4,parameters!$B$10),0)=parameters!$B$9,businessmodel!B$17*(1+parameters!$B$12)^rekensheets!$B4,0)</f>
        <v>-59.007258</v>
      </c>
      <c r="D4" s="82">
        <f>IF(parameters!$B$4="corporatie",-businessmodel!C$16*(1+parameters!$B$11)^rekensheets!$B4,0)-IF(ROUNDDOWN(MOD($B4,parameters!$B$10),0)=parameters!$B$9,businessmodel!C$17*(1+parameters!$B$12)^rekensheets!$B4,0)</f>
        <v>-20.761813</v>
      </c>
      <c r="E4" s="82">
        <f>IF(parameters!$B$4="corporatie",-businessmodel!D$16*(1+parameters!$B$11)^rekensheets!$B4,0)-IF(ROUNDDOWN(MOD($B4,parameters!$B$10),0)=parameters!$B$9,businessmodel!D$17*(1+parameters!$B$12)^rekensheets!$B4,0)</f>
        <v>-14.205451</v>
      </c>
      <c r="F4" s="82">
        <f>IF(parameters!$B$4="corporatie",-businessmodel!E$16*(1+parameters!$B$11)^rekensheets!$B4,0)-IF(ROUNDDOWN(MOD($B4,parameters!$B$10),0)=parameters!$B$9,businessmodel!E$17*(1+parameters!$B$12)^rekensheets!$B4,0)</f>
        <v>-36.059990999999997</v>
      </c>
      <c r="G4" s="82">
        <f>IF(parameters!$B$4="corporatie",-businessmodel!F$16*(1+parameters!$B$11)^rekensheets!$B4,0)-IF(ROUNDDOWN(MOD($B4,parameters!$B$10),0)=parameters!$B$9,businessmodel!F$17*(1+parameters!$B$12)^rekensheets!$B4,0)</f>
        <v>-68.841801000000004</v>
      </c>
      <c r="H4" s="82">
        <f>IF(parameters!$B$4="corporatie",-businessmodel!G$16*(1+parameters!$B$11)^rekensheets!$B4,0)-IF(ROUNDDOWN(MOD($B4,parameters!$B$10),0)=parameters!$B$9,businessmodel!G$17*(1+parameters!$B$12)^rekensheets!$B4,0)</f>
        <v>-21.85454</v>
      </c>
      <c r="I4" s="82">
        <f>IF(parameters!$B$4="corporatie",-businessmodel!H$16*(1+parameters!$B$11)^rekensheets!$B4,0)-IF(ROUNDDOWN(MOD($B4,parameters!$B$10),0)=parameters!$B$9,businessmodel!H$17*(1+parameters!$B$12)^rekensheets!$B4,0)</f>
        <v>-24.039994</v>
      </c>
      <c r="J4" s="82">
        <f>IF(parameters!$B$4="corporatie",-businessmodel!I$16*(1+parameters!$B$11)^rekensheets!$B4,0)-IF(ROUNDDOWN(MOD($B4,parameters!$B$10),0)=parameters!$B$9,businessmodel!I$17*(1+parameters!$B$12)^rekensheets!$B4,0)</f>
        <v>-27.318175</v>
      </c>
      <c r="K4" s="82">
        <f>IF(parameters!$B$4="corporatie",-businessmodel!J$16*(1+parameters!$B$11)^rekensheets!$B4,0)-IF(ROUNDDOWN(MOD($B4,parameters!$B$10),0)=parameters!$B$9,businessmodel!J$17*(1+parameters!$B$12)^rekensheets!$B4,0)</f>
        <v>-38.245445000000004</v>
      </c>
      <c r="L4" s="82">
        <f>IF(parameters!$B$4="corporatie",-businessmodel!K$16*(1+parameters!$B$11)^rekensheets!$B4,0)-IF(ROUNDDOWN(MOD($B4,parameters!$B$10),0)=parameters!$B$9,businessmodel!K$17*(1+parameters!$B$12)^rekensheets!$B4,0)</f>
        <v>-13.112724</v>
      </c>
      <c r="M4" s="82">
        <f>IF(parameters!$B$4="corporatie",-businessmodel!L$16*(1+parameters!$B$11)^rekensheets!$B4,0)-IF(ROUNDDOWN(MOD($B4,parameters!$B$10),0)=parameters!$B$9,businessmodel!L$17*(1+parameters!$B$12)^rekensheets!$B4,0)</f>
        <v>-10.92727</v>
      </c>
      <c r="N4" s="82">
        <f>IF(parameters!$B$4="corporatie",-businessmodel!M$16*(1+parameters!$B$11)^rekensheets!$B4,0)-IF(ROUNDDOWN(MOD($B4,parameters!$B$10),0)=parameters!$B$9,businessmodel!M$17*(1+parameters!$B$12)^rekensheets!$B4,0)</f>
        <v>-48.079988</v>
      </c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</row>
    <row r="5" spans="1:44" ht="13.8">
      <c r="B5" s="98">
        <v>4</v>
      </c>
      <c r="C5" s="82">
        <f>IF(parameters!$B$4="corporatie",-businessmodel!B$16*(1+parameters!$B$11)^rekensheets!$B5,0)-IF(ROUNDDOWN(MOD($B5,parameters!$B$10),0)=parameters!$B$9,businessmodel!B$17*(1+parameters!$B$12)^rekensheets!$B5,0)</f>
        <v>-60.777475739999993</v>
      </c>
      <c r="D5" s="82">
        <f>IF(parameters!$B$4="corporatie",-businessmodel!C$16*(1+parameters!$B$11)^rekensheets!$B5,0)-IF(ROUNDDOWN(MOD($B5,parameters!$B$10),0)=parameters!$B$9,businessmodel!C$17*(1+parameters!$B$12)^rekensheets!$B5,0)</f>
        <v>-21.384667389999997</v>
      </c>
      <c r="E5" s="82">
        <f>IF(parameters!$B$4="corporatie",-businessmodel!D$16*(1+parameters!$B$11)^rekensheets!$B5,0)-IF(ROUNDDOWN(MOD($B5,parameters!$B$10),0)=parameters!$B$9,businessmodel!D$17*(1+parameters!$B$12)^rekensheets!$B5,0)</f>
        <v>-14.631614529999998</v>
      </c>
      <c r="F5" s="82">
        <f>IF(parameters!$B$4="corporatie",-businessmodel!E$16*(1+parameters!$B$11)^rekensheets!$B5,0)-IF(ROUNDDOWN(MOD($B5,parameters!$B$10),0)=parameters!$B$9,businessmodel!E$17*(1+parameters!$B$12)^rekensheets!$B5,0)</f>
        <v>-37.141790729999997</v>
      </c>
      <c r="G5" s="82">
        <f>IF(parameters!$B$4="corporatie",-businessmodel!F$16*(1+parameters!$B$11)^rekensheets!$B5,0)-IF(ROUNDDOWN(MOD($B5,parameters!$B$10),0)=parameters!$B$9,businessmodel!F$17*(1+parameters!$B$12)^rekensheets!$B5,0)</f>
        <v>-70.907055029999995</v>
      </c>
      <c r="H5" s="82">
        <f>IF(parameters!$B$4="corporatie",-businessmodel!G$16*(1+parameters!$B$11)^rekensheets!$B5,0)-IF(ROUNDDOWN(MOD($B5,parameters!$B$10),0)=parameters!$B$9,businessmodel!G$17*(1+parameters!$B$12)^rekensheets!$B5,0)</f>
        <v>-22.510176199999997</v>
      </c>
      <c r="I5" s="82">
        <f>IF(parameters!$B$4="corporatie",-businessmodel!H$16*(1+parameters!$B$11)^rekensheets!$B5,0)-IF(ROUNDDOWN(MOD($B5,parameters!$B$10),0)=parameters!$B$9,businessmodel!H$17*(1+parameters!$B$12)^rekensheets!$B5,0)</f>
        <v>-24.761193819999999</v>
      </c>
      <c r="J5" s="82">
        <f>IF(parameters!$B$4="corporatie",-businessmodel!I$16*(1+parameters!$B$11)^rekensheets!$B5,0)-IF(ROUNDDOWN(MOD($B5,parameters!$B$10),0)=parameters!$B$9,businessmodel!I$17*(1+parameters!$B$12)^rekensheets!$B5,0)</f>
        <v>-28.137720249999997</v>
      </c>
      <c r="K5" s="82">
        <f>IF(parameters!$B$4="corporatie",-businessmodel!J$16*(1+parameters!$B$11)^rekensheets!$B5,0)-IF(ROUNDDOWN(MOD($B5,parameters!$B$10),0)=parameters!$B$9,businessmodel!J$17*(1+parameters!$B$12)^rekensheets!$B5,0)</f>
        <v>-39.392808349999996</v>
      </c>
      <c r="L5" s="82">
        <f>IF(parameters!$B$4="corporatie",-businessmodel!K$16*(1+parameters!$B$11)^rekensheets!$B5,0)-IF(ROUNDDOWN(MOD($B5,parameters!$B$10),0)=parameters!$B$9,businessmodel!K$17*(1+parameters!$B$12)^rekensheets!$B5,0)</f>
        <v>-13.506105719999999</v>
      </c>
      <c r="M5" s="82">
        <f>IF(parameters!$B$4="corporatie",-businessmodel!L$16*(1+parameters!$B$11)^rekensheets!$B5,0)-IF(ROUNDDOWN(MOD($B5,parameters!$B$10),0)=parameters!$B$9,businessmodel!L$17*(1+parameters!$B$12)^rekensheets!$B5,0)</f>
        <v>-11.255088099999998</v>
      </c>
      <c r="N5" s="82">
        <f>IF(parameters!$B$4="corporatie",-businessmodel!M$16*(1+parameters!$B$11)^rekensheets!$B5,0)-IF(ROUNDDOWN(MOD($B5,parameters!$B$10),0)=parameters!$B$9,businessmodel!M$17*(1+parameters!$B$12)^rekensheets!$B5,0)</f>
        <v>-49.522387639999998</v>
      </c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</row>
    <row r="6" spans="1:44" ht="13.8">
      <c r="B6" s="98">
        <v>5</v>
      </c>
      <c r="C6" s="82">
        <f>IF(parameters!$B$4="corporatie",-businessmodel!B$16*(1+parameters!$B$11)^rekensheets!$B6,0)-IF(ROUNDDOWN(MOD($B6,parameters!$B$10),0)=parameters!$B$9,businessmodel!B$17*(1+parameters!$B$12)^rekensheets!$B6,0)</f>
        <v>-62.60080001219999</v>
      </c>
      <c r="D6" s="82">
        <f>IF(parameters!$B$4="corporatie",-businessmodel!C$16*(1+parameters!$B$11)^rekensheets!$B6,0)-IF(ROUNDDOWN(MOD($B6,parameters!$B$10),0)=parameters!$B$9,businessmodel!C$17*(1+parameters!$B$12)^rekensheets!$B6,0)</f>
        <v>-22.026207411699996</v>
      </c>
      <c r="E6" s="82">
        <f>IF(parameters!$B$4="corporatie",-businessmodel!D$16*(1+parameters!$B$11)^rekensheets!$B6,0)-IF(ROUNDDOWN(MOD($B6,parameters!$B$10),0)=parameters!$B$9,businessmodel!D$17*(1+parameters!$B$12)^rekensheets!$B6,0)</f>
        <v>-15.070562965899999</v>
      </c>
      <c r="F6" s="82">
        <f>IF(parameters!$B$4="corporatie",-businessmodel!E$16*(1+parameters!$B$11)^rekensheets!$B6,0)-IF(ROUNDDOWN(MOD($B6,parameters!$B$10),0)=parameters!$B$9,businessmodel!E$17*(1+parameters!$B$12)^rekensheets!$B6,0)</f>
        <v>-38.256044451899996</v>
      </c>
      <c r="G6" s="82">
        <f>IF(parameters!$B$4="corporatie",-businessmodel!F$16*(1+parameters!$B$11)^rekensheets!$B6,0)-IF(ROUNDDOWN(MOD($B6,parameters!$B$10),0)=parameters!$B$9,businessmodel!F$17*(1+parameters!$B$12)^rekensheets!$B6,0)</f>
        <v>-73.034266680899989</v>
      </c>
      <c r="H6" s="82">
        <f>IF(parameters!$B$4="corporatie",-businessmodel!G$16*(1+parameters!$B$11)^rekensheets!$B6,0)-IF(ROUNDDOWN(MOD($B6,parameters!$B$10),0)=parameters!$B$9,businessmodel!G$17*(1+parameters!$B$12)^rekensheets!$B6,0)</f>
        <v>-23.185481485999997</v>
      </c>
      <c r="I6" s="82">
        <f>IF(parameters!$B$4="corporatie",-businessmodel!H$16*(1+parameters!$B$11)^rekensheets!$B6,0)-IF(ROUNDDOWN(MOD($B6,parameters!$B$10),0)=parameters!$B$9,businessmodel!H$17*(1+parameters!$B$12)^rekensheets!$B6,0)</f>
        <v>-25.504029634599995</v>
      </c>
      <c r="J6" s="82">
        <f>IF(parameters!$B$4="corporatie",-businessmodel!I$16*(1+parameters!$B$11)^rekensheets!$B6,0)-IF(ROUNDDOWN(MOD($B6,parameters!$B$10),0)=parameters!$B$9,businessmodel!I$17*(1+parameters!$B$12)^rekensheets!$B6,0)</f>
        <v>-28.981851857499997</v>
      </c>
      <c r="K6" s="82">
        <f>IF(parameters!$B$4="corporatie",-businessmodel!J$16*(1+parameters!$B$11)^rekensheets!$B6,0)-IF(ROUNDDOWN(MOD($B6,parameters!$B$10),0)=parameters!$B$9,businessmodel!J$17*(1+parameters!$B$12)^rekensheets!$B6,0)</f>
        <v>-40.574592600499997</v>
      </c>
      <c r="L6" s="82">
        <f>IF(parameters!$B$4="corporatie",-businessmodel!K$16*(1+parameters!$B$11)^rekensheets!$B6,0)-IF(ROUNDDOWN(MOD($B6,parameters!$B$10),0)=parameters!$B$9,businessmodel!K$17*(1+parameters!$B$12)^rekensheets!$B6,0)</f>
        <v>-13.911288891599998</v>
      </c>
      <c r="M6" s="82">
        <f>IF(parameters!$B$4="corporatie",-businessmodel!L$16*(1+parameters!$B$11)^rekensheets!$B6,0)-IF(ROUNDDOWN(MOD($B6,parameters!$B$10),0)=parameters!$B$9,businessmodel!L$17*(1+parameters!$B$12)^rekensheets!$B6,0)</f>
        <v>-11.592740742999998</v>
      </c>
      <c r="N6" s="82">
        <f>IF(parameters!$B$4="corporatie",-businessmodel!M$16*(1+parameters!$B$11)^rekensheets!$B6,0)-IF(ROUNDDOWN(MOD($B6,parameters!$B$10),0)=parameters!$B$9,businessmodel!M$17*(1+parameters!$B$12)^rekensheets!$B6,0)</f>
        <v>-51.00805926919999</v>
      </c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</row>
    <row r="7" spans="1:44" ht="13.8">
      <c r="B7" s="98">
        <v>6</v>
      </c>
      <c r="C7" s="82">
        <f>IF(parameters!$B$4="corporatie",-businessmodel!B$16*(1+parameters!$B$11)^rekensheets!$B7,0)-IF(ROUNDDOWN(MOD($B7,parameters!$B$10),0)=parameters!$B$9,businessmodel!B$17*(1+parameters!$B$12)^rekensheets!$B7,0)</f>
        <v>-64.478824012565994</v>
      </c>
      <c r="D7" s="82">
        <f>IF(parameters!$B$4="corporatie",-businessmodel!C$16*(1+parameters!$B$11)^rekensheets!$B7,0)-IF(ROUNDDOWN(MOD($B7,parameters!$B$10),0)=parameters!$B$9,businessmodel!C$17*(1+parameters!$B$12)^rekensheets!$B7,0)</f>
        <v>-22.686993634050999</v>
      </c>
      <c r="E7" s="82">
        <f>IF(parameters!$B$4="corporatie",-businessmodel!D$16*(1+parameters!$B$11)^rekensheets!$B7,0)-IF(ROUNDDOWN(MOD($B7,parameters!$B$10),0)=parameters!$B$9,businessmodel!D$17*(1+parameters!$B$12)^rekensheets!$B7,0)</f>
        <v>-15.522679854877</v>
      </c>
      <c r="F7" s="82">
        <f>IF(parameters!$B$4="corporatie",-businessmodel!E$16*(1+parameters!$B$11)^rekensheets!$B7,0)-IF(ROUNDDOWN(MOD($B7,parameters!$B$10),0)=parameters!$B$9,businessmodel!E$17*(1+parameters!$B$12)^rekensheets!$B7,0)</f>
        <v>-39.403725785456999</v>
      </c>
      <c r="G7" s="82">
        <f>IF(parameters!$B$4="corporatie",-businessmodel!F$16*(1+parameters!$B$11)^rekensheets!$B7,0)-IF(ROUNDDOWN(MOD($B7,parameters!$B$10),0)=parameters!$B$9,businessmodel!F$17*(1+parameters!$B$12)^rekensheets!$B7,0)</f>
        <v>-75.225294681327</v>
      </c>
      <c r="H7" s="82">
        <f>IF(parameters!$B$4="corporatie",-businessmodel!G$16*(1+parameters!$B$11)^rekensheets!$B7,0)-IF(ROUNDDOWN(MOD($B7,parameters!$B$10),0)=parameters!$B$9,businessmodel!G$17*(1+parameters!$B$12)^rekensheets!$B7,0)</f>
        <v>-23.881045930579997</v>
      </c>
      <c r="I7" s="82">
        <f>IF(parameters!$B$4="corporatie",-businessmodel!H$16*(1+parameters!$B$11)^rekensheets!$B7,0)-IF(ROUNDDOWN(MOD($B7,parameters!$B$10),0)=parameters!$B$9,businessmodel!H$17*(1+parameters!$B$12)^rekensheets!$B7,0)</f>
        <v>-26.269150523637997</v>
      </c>
      <c r="J7" s="82">
        <f>IF(parameters!$B$4="corporatie",-businessmodel!I$16*(1+parameters!$B$11)^rekensheets!$B7,0)-IF(ROUNDDOWN(MOD($B7,parameters!$B$10),0)=parameters!$B$9,businessmodel!I$17*(1+parameters!$B$12)^rekensheets!$B7,0)</f>
        <v>-29.851307413224998</v>
      </c>
      <c r="K7" s="82">
        <f>IF(parameters!$B$4="corporatie",-businessmodel!J$16*(1+parameters!$B$11)^rekensheets!$B7,0)-IF(ROUNDDOWN(MOD($B7,parameters!$B$10),0)=parameters!$B$9,businessmodel!J$17*(1+parameters!$B$12)^rekensheets!$B7,0)</f>
        <v>-41.791830378514994</v>
      </c>
      <c r="L7" s="82">
        <f>IF(parameters!$B$4="corporatie",-businessmodel!K$16*(1+parameters!$B$11)^rekensheets!$B7,0)-IF(ROUNDDOWN(MOD($B7,parameters!$B$10),0)=parameters!$B$9,businessmodel!K$17*(1+parameters!$B$12)^rekensheets!$B7,0)</f>
        <v>-14.328627558348</v>
      </c>
      <c r="M7" s="82">
        <f>IF(parameters!$B$4="corporatie",-businessmodel!L$16*(1+parameters!$B$11)^rekensheets!$B7,0)-IF(ROUNDDOWN(MOD($B7,parameters!$B$10),0)=parameters!$B$9,businessmodel!L$17*(1+parameters!$B$12)^rekensheets!$B7,0)</f>
        <v>-11.940522965289999</v>
      </c>
      <c r="N7" s="82">
        <f>IF(parameters!$B$4="corporatie",-businessmodel!M$16*(1+parameters!$B$11)^rekensheets!$B7,0)-IF(ROUNDDOWN(MOD($B7,parameters!$B$10),0)=parameters!$B$9,businessmodel!M$17*(1+parameters!$B$12)^rekensheets!$B7,0)</f>
        <v>-52.538301047275993</v>
      </c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</row>
    <row r="8" spans="1:44" ht="13.8">
      <c r="B8" s="98">
        <v>7</v>
      </c>
      <c r="C8" s="82">
        <f>IF(parameters!$B$4="corporatie",-businessmodel!B$16*(1+parameters!$B$11)^rekensheets!$B8,0)-IF(ROUNDDOWN(MOD($B8,parameters!$B$10),0)=parameters!$B$9,businessmodel!B$17*(1+parameters!$B$12)^rekensheets!$B8,0)</f>
        <v>-66.413188732942984</v>
      </c>
      <c r="D8" s="82">
        <f>IF(parameters!$B$4="corporatie",-businessmodel!C$16*(1+parameters!$B$11)^rekensheets!$B8,0)-IF(ROUNDDOWN(MOD($B8,parameters!$B$10),0)=parameters!$B$9,businessmodel!C$17*(1+parameters!$B$12)^rekensheets!$B8,0)</f>
        <v>-23.367603443072529</v>
      </c>
      <c r="E8" s="82">
        <f>IF(parameters!$B$4="corporatie",-businessmodel!D$16*(1+parameters!$B$11)^rekensheets!$B8,0)-IF(ROUNDDOWN(MOD($B8,parameters!$B$10),0)=parameters!$B$9,businessmodel!D$17*(1+parameters!$B$12)^rekensheets!$B8,0)</f>
        <v>-15.988360250523311</v>
      </c>
      <c r="F8" s="82">
        <f>IF(parameters!$B$4="corporatie",-businessmodel!E$16*(1+parameters!$B$11)^rekensheets!$B8,0)-IF(ROUNDDOWN(MOD($B8,parameters!$B$10),0)=parameters!$B$9,businessmodel!E$17*(1+parameters!$B$12)^rekensheets!$B8,0)</f>
        <v>-40.58583755902071</v>
      </c>
      <c r="G8" s="82">
        <f>IF(parameters!$B$4="corporatie",-businessmodel!F$16*(1+parameters!$B$11)^rekensheets!$B8,0)-IF(ROUNDDOWN(MOD($B8,parameters!$B$10),0)=parameters!$B$9,businessmodel!F$17*(1+parameters!$B$12)^rekensheets!$B8,0)</f>
        <v>-77.482053521766815</v>
      </c>
      <c r="H8" s="82">
        <f>IF(parameters!$B$4="corporatie",-businessmodel!G$16*(1+parameters!$B$11)^rekensheets!$B8,0)-IF(ROUNDDOWN(MOD($B8,parameters!$B$10),0)=parameters!$B$9,businessmodel!G$17*(1+parameters!$B$12)^rekensheets!$B8,0)</f>
        <v>-24.5974773084974</v>
      </c>
      <c r="I8" s="82">
        <f>IF(parameters!$B$4="corporatie",-businessmodel!H$16*(1+parameters!$B$11)^rekensheets!$B8,0)-IF(ROUNDDOWN(MOD($B8,parameters!$B$10),0)=parameters!$B$9,businessmodel!H$17*(1+parameters!$B$12)^rekensheets!$B8,0)</f>
        <v>-27.057225039347138</v>
      </c>
      <c r="J8" s="82">
        <f>IF(parameters!$B$4="corporatie",-businessmodel!I$16*(1+parameters!$B$11)^rekensheets!$B8,0)-IF(ROUNDDOWN(MOD($B8,parameters!$B$10),0)=parameters!$B$9,businessmodel!I$17*(1+parameters!$B$12)^rekensheets!$B8,0)</f>
        <v>-30.74684663562175</v>
      </c>
      <c r="K8" s="82">
        <f>IF(parameters!$B$4="corporatie",-businessmodel!J$16*(1+parameters!$B$11)^rekensheets!$B8,0)-IF(ROUNDDOWN(MOD($B8,parameters!$B$10),0)=parameters!$B$9,businessmodel!J$17*(1+parameters!$B$12)^rekensheets!$B8,0)</f>
        <v>-43.045585289870452</v>
      </c>
      <c r="L8" s="82">
        <f>IF(parameters!$B$4="corporatie",-businessmodel!K$16*(1+parameters!$B$11)^rekensheets!$B8,0)-IF(ROUNDDOWN(MOD($B8,parameters!$B$10),0)=parameters!$B$9,businessmodel!K$17*(1+parameters!$B$12)^rekensheets!$B8,0)</f>
        <v>-14.75848638509844</v>
      </c>
      <c r="M8" s="82">
        <f>IF(parameters!$B$4="corporatie",-businessmodel!L$16*(1+parameters!$B$11)^rekensheets!$B8,0)-IF(ROUNDDOWN(MOD($B8,parameters!$B$10),0)=parameters!$B$9,businessmodel!L$17*(1+parameters!$B$12)^rekensheets!$B8,0)</f>
        <v>-12.2987386542487</v>
      </c>
      <c r="N8" s="82">
        <f>IF(parameters!$B$4="corporatie",-businessmodel!M$16*(1+parameters!$B$11)^rekensheets!$B8,0)-IF(ROUNDDOWN(MOD($B8,parameters!$B$10),0)=parameters!$B$9,businessmodel!M$17*(1+parameters!$B$12)^rekensheets!$B8,0)</f>
        <v>-54.114450078694276</v>
      </c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</row>
    <row r="9" spans="1:44" ht="13.8">
      <c r="B9" s="98">
        <v>8</v>
      </c>
      <c r="C9" s="82">
        <f>IF(parameters!$B$4="corporatie",-businessmodel!B$16*(1+parameters!$B$11)^rekensheets!$B9,0)-IF(ROUNDDOWN(MOD($B9,parameters!$B$10),0)=parameters!$B$9,businessmodel!B$17*(1+parameters!$B$12)^rekensheets!$B9,0)</f>
        <v>-68.405584394931253</v>
      </c>
      <c r="D9" s="82">
        <f>IF(parameters!$B$4="corporatie",-businessmodel!C$16*(1+parameters!$B$11)^rekensheets!$B9,0)-IF(ROUNDDOWN(MOD($B9,parameters!$B$10),0)=parameters!$B$9,businessmodel!C$17*(1+parameters!$B$12)^rekensheets!$B9,0)</f>
        <v>-24.068631546364703</v>
      </c>
      <c r="E9" s="82">
        <f>IF(parameters!$B$4="corporatie",-businessmodel!D$16*(1+parameters!$B$11)^rekensheets!$B9,0)-IF(ROUNDDOWN(MOD($B9,parameters!$B$10),0)=parameters!$B$9,businessmodel!D$17*(1+parameters!$B$12)^rekensheets!$B9,0)</f>
        <v>-16.468011058039007</v>
      </c>
      <c r="F9" s="82">
        <f>IF(parameters!$B$4="corporatie",-businessmodel!E$16*(1+parameters!$B$11)^rekensheets!$B9,0)-IF(ROUNDDOWN(MOD($B9,parameters!$B$10),0)=parameters!$B$9,businessmodel!E$17*(1+parameters!$B$12)^rekensheets!$B9,0)</f>
        <v>-41.803412685791329</v>
      </c>
      <c r="G9" s="82">
        <f>IF(parameters!$B$4="corporatie",-businessmodel!F$16*(1+parameters!$B$11)^rekensheets!$B9,0)-IF(ROUNDDOWN(MOD($B9,parameters!$B$10),0)=parameters!$B$9,businessmodel!F$17*(1+parameters!$B$12)^rekensheets!$B9,0)</f>
        <v>-79.8065151274198</v>
      </c>
      <c r="H9" s="82">
        <f>IF(parameters!$B$4="corporatie",-businessmodel!G$16*(1+parameters!$B$11)^rekensheets!$B9,0)-IF(ROUNDDOWN(MOD($B9,parameters!$B$10),0)=parameters!$B$9,businessmodel!G$17*(1+parameters!$B$12)^rekensheets!$B9,0)</f>
        <v>-25.335401627752319</v>
      </c>
      <c r="I9" s="82">
        <f>IF(parameters!$B$4="corporatie",-businessmodel!H$16*(1+parameters!$B$11)^rekensheets!$B9,0)-IF(ROUNDDOWN(MOD($B9,parameters!$B$10),0)=parameters!$B$9,businessmodel!H$17*(1+parameters!$B$12)^rekensheets!$B9,0)</f>
        <v>-27.86894179052755</v>
      </c>
      <c r="J9" s="82">
        <f>IF(parameters!$B$4="corporatie",-businessmodel!I$16*(1+parameters!$B$11)^rekensheets!$B9,0)-IF(ROUNDDOWN(MOD($B9,parameters!$B$10),0)=parameters!$B$9,businessmodel!I$17*(1+parameters!$B$12)^rekensheets!$B9,0)</f>
        <v>-31.669252034690398</v>
      </c>
      <c r="K9" s="82">
        <f>IF(parameters!$B$4="corporatie",-businessmodel!J$16*(1+parameters!$B$11)^rekensheets!$B9,0)-IF(ROUNDDOWN(MOD($B9,parameters!$B$10),0)=parameters!$B$9,businessmodel!J$17*(1+parameters!$B$12)^rekensheets!$B9,0)</f>
        <v>-44.336952848566554</v>
      </c>
      <c r="L9" s="82">
        <f>IF(parameters!$B$4="corporatie",-businessmodel!K$16*(1+parameters!$B$11)^rekensheets!$B9,0)-IF(ROUNDDOWN(MOD($B9,parameters!$B$10),0)=parameters!$B$9,businessmodel!K$17*(1+parameters!$B$12)^rekensheets!$B9,0)</f>
        <v>-15.201240976651391</v>
      </c>
      <c r="M9" s="82">
        <f>IF(parameters!$B$4="corporatie",-businessmodel!L$16*(1+parameters!$B$11)^rekensheets!$B9,0)-IF(ROUNDDOWN(MOD($B9,parameters!$B$10),0)=parameters!$B$9,businessmodel!L$17*(1+parameters!$B$12)^rekensheets!$B9,0)</f>
        <v>-12.667700813876159</v>
      </c>
      <c r="N9" s="82">
        <f>IF(parameters!$B$4="corporatie",-businessmodel!M$16*(1+parameters!$B$11)^rekensheets!$B9,0)-IF(ROUNDDOWN(MOD($B9,parameters!$B$10),0)=parameters!$B$9,businessmodel!M$17*(1+parameters!$B$12)^rekensheets!$B9,0)</f>
        <v>-55.737883581055101</v>
      </c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</row>
    <row r="10" spans="1:44" ht="13.8">
      <c r="B10" s="98">
        <v>9</v>
      </c>
      <c r="C10" s="82">
        <f>IF(parameters!$B$4="corporatie",-businessmodel!B$16*(1+parameters!$B$11)^rekensheets!$B10,0)-IF(ROUNDDOWN(MOD($B10,parameters!$B$10),0)=parameters!$B$9,businessmodel!B$17*(1+parameters!$B$12)^rekensheets!$B10,0)</f>
        <v>-70.457751926779196</v>
      </c>
      <c r="D10" s="82">
        <f>IF(parameters!$B$4="corporatie",-businessmodel!C$16*(1+parameters!$B$11)^rekensheets!$B10,0)-IF(ROUNDDOWN(MOD($B10,parameters!$B$10),0)=parameters!$B$9,businessmodel!C$17*(1+parameters!$B$12)^rekensheets!$B10,0)</f>
        <v>-24.790690492755644</v>
      </c>
      <c r="E10" s="82">
        <f>IF(parameters!$B$4="corporatie",-businessmodel!D$16*(1+parameters!$B$11)^rekensheets!$B10,0)-IF(ROUNDDOWN(MOD($B10,parameters!$B$10),0)=parameters!$B$9,businessmodel!D$17*(1+parameters!$B$12)^rekensheets!$B10,0)</f>
        <v>-16.962051389780179</v>
      </c>
      <c r="F10" s="82">
        <f>IF(parameters!$B$4="corporatie",-businessmodel!E$16*(1+parameters!$B$11)^rekensheets!$B10,0)-IF(ROUNDDOWN(MOD($B10,parameters!$B$10),0)=parameters!$B$9,businessmodel!E$17*(1+parameters!$B$12)^rekensheets!$B10,0)</f>
        <v>-43.05751506636507</v>
      </c>
      <c r="G10" s="82">
        <f>IF(parameters!$B$4="corporatie",-businessmodel!F$16*(1+parameters!$B$11)^rekensheets!$B10,0)-IF(ROUNDDOWN(MOD($B10,parameters!$B$10),0)=parameters!$B$9,businessmodel!F$17*(1+parameters!$B$12)^rekensheets!$B10,0)</f>
        <v>-82.200710581242404</v>
      </c>
      <c r="H10" s="82">
        <f>IF(parameters!$B$4="corporatie",-businessmodel!G$16*(1+parameters!$B$11)^rekensheets!$B10,0)-IF(ROUNDDOWN(MOD($B10,parameters!$B$10),0)=parameters!$B$9,businessmodel!G$17*(1+parameters!$B$12)^rekensheets!$B10,0)</f>
        <v>-26.095463676584888</v>
      </c>
      <c r="I10" s="82">
        <f>IF(parameters!$B$4="corporatie",-businessmodel!H$16*(1+parameters!$B$11)^rekensheets!$B10,0)-IF(ROUNDDOWN(MOD($B10,parameters!$B$10),0)=parameters!$B$9,businessmodel!H$17*(1+parameters!$B$12)^rekensheets!$B10,0)</f>
        <v>-28.705010044243377</v>
      </c>
      <c r="J10" s="82">
        <f>IF(parameters!$B$4="corporatie",-businessmodel!I$16*(1+parameters!$B$11)^rekensheets!$B10,0)-IF(ROUNDDOWN(MOD($B10,parameters!$B$10),0)=parameters!$B$9,businessmodel!I$17*(1+parameters!$B$12)^rekensheets!$B10,0)</f>
        <v>-32.619329595731109</v>
      </c>
      <c r="K10" s="82">
        <f>IF(parameters!$B$4="corporatie",-businessmodel!J$16*(1+parameters!$B$11)^rekensheets!$B10,0)-IF(ROUNDDOWN(MOD($B10,parameters!$B$10),0)=parameters!$B$9,businessmodel!J$17*(1+parameters!$B$12)^rekensheets!$B10,0)</f>
        <v>-45.667061434023559</v>
      </c>
      <c r="L10" s="82">
        <f>IF(parameters!$B$4="corporatie",-businessmodel!K$16*(1+parameters!$B$11)^rekensheets!$B10,0)-IF(ROUNDDOWN(MOD($B10,parameters!$B$10),0)=parameters!$B$9,businessmodel!K$17*(1+parameters!$B$12)^rekensheets!$B10,0)</f>
        <v>-15.657278205950934</v>
      </c>
      <c r="M10" s="82">
        <f>IF(parameters!$B$4="corporatie",-businessmodel!L$16*(1+parameters!$B$11)^rekensheets!$B10,0)-IF(ROUNDDOWN(MOD($B10,parameters!$B$10),0)=parameters!$B$9,businessmodel!L$17*(1+parameters!$B$12)^rekensheets!$B10,0)</f>
        <v>-13.047731838292444</v>
      </c>
      <c r="N10" s="82">
        <f>IF(parameters!$B$4="corporatie",-businessmodel!M$16*(1+parameters!$B$11)^rekensheets!$B10,0)-IF(ROUNDDOWN(MOD($B10,parameters!$B$10),0)=parameters!$B$9,businessmodel!M$17*(1+parameters!$B$12)^rekensheets!$B10,0)</f>
        <v>-57.410020088486753</v>
      </c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</row>
    <row r="11" spans="1:44" ht="13.8">
      <c r="A11" s="84"/>
      <c r="B11" s="98">
        <v>10</v>
      </c>
      <c r="C11" s="82">
        <f>IF(parameters!$B$4="corporatie",-businessmodel!B$16*(1+parameters!$B$11)^rekensheets!$B11,0)-IF(ROUNDDOWN(MOD($B11,parameters!$B$10),0)=parameters!$B$9,businessmodel!B$17*(1+parameters!$B$12)^rekensheets!$B11,0)</f>
        <v>-180.08479483211232</v>
      </c>
      <c r="D11" s="82">
        <f>IF(parameters!$B$4="corporatie",-businessmodel!C$16*(1+parameters!$B$11)^rekensheets!$B11,0)-IF(ROUNDDOWN(MOD($B11,parameters!$B$10),0)=parameters!$B$9,businessmodel!C$17*(1+parameters!$B$12)^rekensheets!$B11,0)</f>
        <v>-495.90514397798091</v>
      </c>
      <c r="E11" s="82">
        <f>IF(parameters!$B$4="corporatie",-businessmodel!D$16*(1+parameters!$B$11)^rekensheets!$B11,0)-IF(ROUNDDOWN(MOD($B11,parameters!$B$10),0)=parameters!$B$9,businessmodel!D$17*(1+parameters!$B$12)^rekensheets!$B11,0)</f>
        <v>-151.86255086588577</v>
      </c>
      <c r="F11" s="82">
        <f>IF(parameters!$B$4="corporatie",-businessmodel!E$16*(1+parameters!$B$11)^rekensheets!$B11,0)-IF(ROUNDDOWN(MOD($B11,parameters!$B$10),0)=parameters!$B$9,businessmodel!E$17*(1+parameters!$B$12)^rekensheets!$B11,0)</f>
        <v>-178.74087845276821</v>
      </c>
      <c r="G11" s="82">
        <f>IF(parameters!$B$4="corporatie",-businessmodel!F$16*(1+parameters!$B$11)^rekensheets!$B11,0)-IF(ROUNDDOWN(MOD($B11,parameters!$B$10),0)=parameters!$B$9,businessmodel!F$17*(1+parameters!$B$12)^rekensheets!$B11,0)</f>
        <v>-219.05836983309186</v>
      </c>
      <c r="H11" s="82">
        <f>IF(parameters!$B$4="corporatie",-businessmodel!G$16*(1+parameters!$B$11)^rekensheets!$B11,0)-IF(ROUNDDOWN(MOD($B11,parameters!$B$10),0)=parameters!$B$9,businessmodel!G$17*(1+parameters!$B$12)^rekensheets!$B11,0)</f>
        <v>-107.51331034752974</v>
      </c>
      <c r="I11" s="82">
        <f>IF(parameters!$B$4="corporatie",-businessmodel!H$16*(1+parameters!$B$11)^rekensheets!$B11,0)-IF(ROUNDDOWN(MOD($B11,parameters!$B$10),0)=parameters!$B$9,businessmodel!H$17*(1+parameters!$B$12)^rekensheets!$B11,0)</f>
        <v>-96.761979312776774</v>
      </c>
      <c r="J11" s="82">
        <f>IF(parameters!$B$4="corporatie",-businessmodel!I$16*(1+parameters!$B$11)^rekensheets!$B11,0)-IF(ROUNDDOWN(MOD($B11,parameters!$B$10),0)=parameters!$B$9,businessmodel!I$17*(1+parameters!$B$12)^rekensheets!$B11,0)</f>
        <v>-100.79372845080914</v>
      </c>
      <c r="K11" s="82">
        <f>IF(parameters!$B$4="corporatie",-businessmodel!J$16*(1+parameters!$B$11)^rekensheets!$B11,0)-IF(ROUNDDOWN(MOD($B11,parameters!$B$10),0)=parameters!$B$9,businessmodel!J$17*(1+parameters!$B$12)^rekensheets!$B11,0)</f>
        <v>-127.67205603769156</v>
      </c>
      <c r="L11" s="82">
        <f>IF(parameters!$B$4="corporatie",-businessmodel!K$16*(1+parameters!$B$11)^rekensheets!$B11,0)-IF(ROUNDDOWN(MOD($B11,parameters!$B$10),0)=parameters!$B$9,businessmodel!K$17*(1+parameters!$B$12)^rekensheets!$B11,0)</f>
        <v>-96.761979312776759</v>
      </c>
      <c r="M11" s="82">
        <f>IF(parameters!$B$4="corporatie",-businessmodel!L$16*(1+parameters!$B$11)^rekensheets!$B11,0)-IF(ROUNDDOWN(MOD($B11,parameters!$B$10),0)=parameters!$B$9,businessmodel!L$17*(1+parameters!$B$12)^rekensheets!$B11,0)</f>
        <v>-80.634982760647318</v>
      </c>
      <c r="N11" s="82">
        <f>IF(parameters!$B$4="corporatie",-businessmodel!M$16*(1+parameters!$B$11)^rekensheets!$B11,0)-IF(ROUNDDOWN(MOD($B11,parameters!$B$10),0)=parameters!$B$9,businessmodel!M$17*(1+parameters!$B$12)^rekensheets!$B11,0)</f>
        <v>-260.71977759275961</v>
      </c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</row>
    <row r="12" spans="1:44" ht="13.8">
      <c r="B12" s="98">
        <v>11</v>
      </c>
      <c r="C12" s="82">
        <f>IF(parameters!$B$4="corporatie",-businessmodel!B$16*(1+parameters!$B$11)^rekensheets!$B12,0)-IF(ROUNDDOWN(MOD($B12,parameters!$B$10),0)=parameters!$B$9,businessmodel!B$17*(1+parameters!$B$12)^rekensheets!$B12,0)</f>
        <v>-74.74862901912006</v>
      </c>
      <c r="D12" s="82">
        <f>IF(parameters!$B$4="corporatie",-businessmodel!C$16*(1+parameters!$B$11)^rekensheets!$B12,0)-IF(ROUNDDOWN(MOD($B12,parameters!$B$10),0)=parameters!$B$9,businessmodel!C$17*(1+parameters!$B$12)^rekensheets!$B12,0)</f>
        <v>-26.300443543764466</v>
      </c>
      <c r="E12" s="82">
        <f>IF(parameters!$B$4="corporatie",-businessmodel!D$16*(1+parameters!$B$11)^rekensheets!$B12,0)-IF(ROUNDDOWN(MOD($B12,parameters!$B$10),0)=parameters!$B$9,businessmodel!D$17*(1+parameters!$B$12)^rekensheets!$B12,0)</f>
        <v>-17.995040319417789</v>
      </c>
      <c r="F12" s="82">
        <f>IF(parameters!$B$4="corporatie",-businessmodel!E$16*(1+parameters!$B$11)^rekensheets!$B12,0)-IF(ROUNDDOWN(MOD($B12,parameters!$B$10),0)=parameters!$B$9,businessmodel!E$17*(1+parameters!$B$12)^rekensheets!$B12,0)</f>
        <v>-45.679717733906699</v>
      </c>
      <c r="G12" s="82">
        <f>IF(parameters!$B$4="corporatie",-businessmodel!F$16*(1+parameters!$B$11)^rekensheets!$B12,0)-IF(ROUNDDOWN(MOD($B12,parameters!$B$10),0)=parameters!$B$9,businessmodel!F$17*(1+parameters!$B$12)^rekensheets!$B12,0)</f>
        <v>-87.206733855640067</v>
      </c>
      <c r="H12" s="82">
        <f>IF(parameters!$B$4="corporatie",-businessmodel!G$16*(1+parameters!$B$11)^rekensheets!$B12,0)-IF(ROUNDDOWN(MOD($B12,parameters!$B$10),0)=parameters!$B$9,businessmodel!G$17*(1+parameters!$B$12)^rekensheets!$B12,0)</f>
        <v>-27.68467741448891</v>
      </c>
      <c r="I12" s="82">
        <f>IF(parameters!$B$4="corporatie",-businessmodel!H$16*(1+parameters!$B$11)^rekensheets!$B12,0)-IF(ROUNDDOWN(MOD($B12,parameters!$B$10),0)=parameters!$B$9,businessmodel!H$17*(1+parameters!$B$12)^rekensheets!$B12,0)</f>
        <v>-30.453145155937801</v>
      </c>
      <c r="J12" s="82">
        <f>IF(parameters!$B$4="corporatie",-businessmodel!I$16*(1+parameters!$B$11)^rekensheets!$B12,0)-IF(ROUNDDOWN(MOD($B12,parameters!$B$10),0)=parameters!$B$9,businessmodel!I$17*(1+parameters!$B$12)^rekensheets!$B12,0)</f>
        <v>-34.605846768111135</v>
      </c>
      <c r="K12" s="82">
        <f>IF(parameters!$B$4="corporatie",-businessmodel!J$16*(1+parameters!$B$11)^rekensheets!$B12,0)-IF(ROUNDDOWN(MOD($B12,parameters!$B$10),0)=parameters!$B$9,businessmodel!J$17*(1+parameters!$B$12)^rekensheets!$B12,0)</f>
        <v>-48.448185475355594</v>
      </c>
      <c r="L12" s="82">
        <f>IF(parameters!$B$4="corporatie",-businessmodel!K$16*(1+parameters!$B$11)^rekensheets!$B12,0)-IF(ROUNDDOWN(MOD($B12,parameters!$B$10),0)=parameters!$B$9,businessmodel!K$17*(1+parameters!$B$12)^rekensheets!$B12,0)</f>
        <v>-16.610806448693346</v>
      </c>
      <c r="M12" s="82">
        <f>IF(parameters!$B$4="corporatie",-businessmodel!L$16*(1+parameters!$B$11)^rekensheets!$B12,0)-IF(ROUNDDOWN(MOD($B12,parameters!$B$10),0)=parameters!$B$9,businessmodel!L$17*(1+parameters!$B$12)^rekensheets!$B12,0)</f>
        <v>-13.842338707244455</v>
      </c>
      <c r="N12" s="82">
        <f>IF(parameters!$B$4="corporatie",-businessmodel!M$16*(1+parameters!$B$11)^rekensheets!$B12,0)-IF(ROUNDDOWN(MOD($B12,parameters!$B$10),0)=parameters!$B$9,businessmodel!M$17*(1+parameters!$B$12)^rekensheets!$B12,0)</f>
        <v>-60.906290311875601</v>
      </c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</row>
    <row r="13" spans="1:44" ht="13.8">
      <c r="B13" s="98">
        <v>12</v>
      </c>
      <c r="C13" s="82">
        <f>IF(parameters!$B$4="corporatie",-businessmodel!B$16*(1+parameters!$B$11)^rekensheets!$B13,0)-IF(ROUNDDOWN(MOD($B13,parameters!$B$10),0)=parameters!$B$9,businessmodel!B$17*(1+parameters!$B$12)^rekensheets!$B13,0)</f>
        <v>-76.991087889693645</v>
      </c>
      <c r="D13" s="82">
        <f>IF(parameters!$B$4="corporatie",-businessmodel!C$16*(1+parameters!$B$11)^rekensheets!$B13,0)-IF(ROUNDDOWN(MOD($B13,parameters!$B$10),0)=parameters!$B$9,businessmodel!C$17*(1+parameters!$B$12)^rekensheets!$B13,0)</f>
        <v>-27.089456850077394</v>
      </c>
      <c r="E13" s="82">
        <f>IF(parameters!$B$4="corporatie",-businessmodel!D$16*(1+parameters!$B$11)^rekensheets!$B13,0)-IF(ROUNDDOWN(MOD($B13,parameters!$B$10),0)=parameters!$B$9,businessmodel!D$17*(1+parameters!$B$12)^rekensheets!$B13,0)</f>
        <v>-18.534891529000323</v>
      </c>
      <c r="F13" s="82">
        <f>IF(parameters!$B$4="corporatie",-businessmodel!E$16*(1+parameters!$B$11)^rekensheets!$B13,0)-IF(ROUNDDOWN(MOD($B13,parameters!$B$10),0)=parameters!$B$9,businessmodel!E$17*(1+parameters!$B$12)^rekensheets!$B13,0)</f>
        <v>-47.050109265923894</v>
      </c>
      <c r="G13" s="82">
        <f>IF(parameters!$B$4="corporatie",-businessmodel!F$16*(1+parameters!$B$11)^rekensheets!$B13,0)-IF(ROUNDDOWN(MOD($B13,parameters!$B$10),0)=parameters!$B$9,businessmodel!F$17*(1+parameters!$B$12)^rekensheets!$B13,0)</f>
        <v>-89.822935871309255</v>
      </c>
      <c r="H13" s="82">
        <f>IF(parameters!$B$4="corporatie",-businessmodel!G$16*(1+parameters!$B$11)^rekensheets!$B13,0)-IF(ROUNDDOWN(MOD($B13,parameters!$B$10),0)=parameters!$B$9,businessmodel!G$17*(1+parameters!$B$12)^rekensheets!$B13,0)</f>
        <v>-28.515217736923574</v>
      </c>
      <c r="I13" s="82">
        <f>IF(parameters!$B$4="corporatie",-businessmodel!H$16*(1+parameters!$B$11)^rekensheets!$B13,0)-IF(ROUNDDOWN(MOD($B13,parameters!$B$10),0)=parameters!$B$9,businessmodel!H$17*(1+parameters!$B$12)^rekensheets!$B13,0)</f>
        <v>-31.366739510615929</v>
      </c>
      <c r="J13" s="82">
        <f>IF(parameters!$B$4="corporatie",-businessmodel!I$16*(1+parameters!$B$11)^rekensheets!$B13,0)-IF(ROUNDDOWN(MOD($B13,parameters!$B$10),0)=parameters!$B$9,businessmodel!I$17*(1+parameters!$B$12)^rekensheets!$B13,0)</f>
        <v>-35.644022171154468</v>
      </c>
      <c r="K13" s="82">
        <f>IF(parameters!$B$4="corporatie",-businessmodel!J$16*(1+parameters!$B$11)^rekensheets!$B13,0)-IF(ROUNDDOWN(MOD($B13,parameters!$B$10),0)=parameters!$B$9,businessmodel!J$17*(1+parameters!$B$12)^rekensheets!$B13,0)</f>
        <v>-49.901631039616255</v>
      </c>
      <c r="L13" s="82">
        <f>IF(parameters!$B$4="corporatie",-businessmodel!K$16*(1+parameters!$B$11)^rekensheets!$B13,0)-IF(ROUNDDOWN(MOD($B13,parameters!$B$10),0)=parameters!$B$9,businessmodel!K$17*(1+parameters!$B$12)^rekensheets!$B13,0)</f>
        <v>-17.109130642154142</v>
      </c>
      <c r="M13" s="82">
        <f>IF(parameters!$B$4="corporatie",-businessmodel!L$16*(1+parameters!$B$11)^rekensheets!$B13,0)-IF(ROUNDDOWN(MOD($B13,parameters!$B$10),0)=parameters!$B$9,businessmodel!L$17*(1+parameters!$B$12)^rekensheets!$B13,0)</f>
        <v>-14.257608868461787</v>
      </c>
      <c r="N13" s="82">
        <f>IF(parameters!$B$4="corporatie",-businessmodel!M$16*(1+parameters!$B$11)^rekensheets!$B13,0)-IF(ROUNDDOWN(MOD($B13,parameters!$B$10),0)=parameters!$B$9,businessmodel!M$17*(1+parameters!$B$12)^rekensheets!$B13,0)</f>
        <v>-62.733479021231858</v>
      </c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</row>
    <row r="14" spans="1:44" ht="13.8">
      <c r="B14" s="98">
        <v>13</v>
      </c>
      <c r="C14" s="82">
        <f>IF(parameters!$B$4="corporatie",-businessmodel!B$16*(1+parameters!$B$11)^rekensheets!$B14,0)-IF(ROUNDDOWN(MOD($B14,parameters!$B$10),0)=parameters!$B$9,businessmodel!B$17*(1+parameters!$B$12)^rekensheets!$B14,0)</f>
        <v>-79.300820526384456</v>
      </c>
      <c r="D14" s="82">
        <f>IF(parameters!$B$4="corporatie",-businessmodel!C$16*(1+parameters!$B$11)^rekensheets!$B14,0)-IF(ROUNDDOWN(MOD($B14,parameters!$B$10),0)=parameters!$B$9,businessmodel!C$17*(1+parameters!$B$12)^rekensheets!$B14,0)</f>
        <v>-27.902140555579713</v>
      </c>
      <c r="E14" s="82">
        <f>IF(parameters!$B$4="corporatie",-businessmodel!D$16*(1+parameters!$B$11)^rekensheets!$B14,0)-IF(ROUNDDOWN(MOD($B14,parameters!$B$10),0)=parameters!$B$9,businessmodel!D$17*(1+parameters!$B$12)^rekensheets!$B14,0)</f>
        <v>-19.090938274870332</v>
      </c>
      <c r="F14" s="82">
        <f>IF(parameters!$B$4="corporatie",-businessmodel!E$16*(1+parameters!$B$11)^rekensheets!$B14,0)-IF(ROUNDDOWN(MOD($B14,parameters!$B$10),0)=parameters!$B$9,businessmodel!E$17*(1+parameters!$B$12)^rekensheets!$B14,0)</f>
        <v>-48.461612543901609</v>
      </c>
      <c r="G14" s="82">
        <f>IF(parameters!$B$4="corporatie",-businessmodel!F$16*(1+parameters!$B$11)^rekensheets!$B14,0)-IF(ROUNDDOWN(MOD($B14,parameters!$B$10),0)=parameters!$B$9,businessmodel!F$17*(1+parameters!$B$12)^rekensheets!$B14,0)</f>
        <v>-92.517623947448527</v>
      </c>
      <c r="H14" s="82">
        <f>IF(parameters!$B$4="corporatie",-businessmodel!G$16*(1+parameters!$B$11)^rekensheets!$B14,0)-IF(ROUNDDOWN(MOD($B14,parameters!$B$10),0)=parameters!$B$9,businessmodel!G$17*(1+parameters!$B$12)^rekensheets!$B14,0)</f>
        <v>-29.370674269031277</v>
      </c>
      <c r="I14" s="82">
        <f>IF(parameters!$B$4="corporatie",-businessmodel!H$16*(1+parameters!$B$11)^rekensheets!$B14,0)-IF(ROUNDDOWN(MOD($B14,parameters!$B$10),0)=parameters!$B$9,businessmodel!H$17*(1+parameters!$B$12)^rekensheets!$B14,0)</f>
        <v>-32.307741695934403</v>
      </c>
      <c r="J14" s="82">
        <f>IF(parameters!$B$4="corporatie",-businessmodel!I$16*(1+parameters!$B$11)^rekensheets!$B14,0)-IF(ROUNDDOWN(MOD($B14,parameters!$B$10),0)=parameters!$B$9,businessmodel!I$17*(1+parameters!$B$12)^rekensheets!$B14,0)</f>
        <v>-36.713342836289101</v>
      </c>
      <c r="K14" s="82">
        <f>IF(parameters!$B$4="corporatie",-businessmodel!J$16*(1+parameters!$B$11)^rekensheets!$B14,0)-IF(ROUNDDOWN(MOD($B14,parameters!$B$10),0)=parameters!$B$9,businessmodel!J$17*(1+parameters!$B$12)^rekensheets!$B14,0)</f>
        <v>-51.398679970804736</v>
      </c>
      <c r="L14" s="82">
        <f>IF(parameters!$B$4="corporatie",-businessmodel!K$16*(1+parameters!$B$11)^rekensheets!$B14,0)-IF(ROUNDDOWN(MOD($B14,parameters!$B$10),0)=parameters!$B$9,businessmodel!K$17*(1+parameters!$B$12)^rekensheets!$B14,0)</f>
        <v>-17.622404561418769</v>
      </c>
      <c r="M14" s="82">
        <f>IF(parameters!$B$4="corporatie",-businessmodel!L$16*(1+parameters!$B$11)^rekensheets!$B14,0)-IF(ROUNDDOWN(MOD($B14,parameters!$B$10),0)=parameters!$B$9,businessmodel!L$17*(1+parameters!$B$12)^rekensheets!$B14,0)</f>
        <v>-14.685337134515638</v>
      </c>
      <c r="N14" s="82">
        <f>IF(parameters!$B$4="corporatie",-businessmodel!M$16*(1+parameters!$B$11)^rekensheets!$B14,0)-IF(ROUNDDOWN(MOD($B14,parameters!$B$10),0)=parameters!$B$9,businessmodel!M$17*(1+parameters!$B$12)^rekensheets!$B14,0)</f>
        <v>-64.615483391868807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</row>
    <row r="15" spans="1:44" ht="13.8">
      <c r="B15" s="98">
        <v>14</v>
      </c>
      <c r="C15" s="82">
        <f>IF(parameters!$B$4="corporatie",-businessmodel!B$16*(1+parameters!$B$11)^rekensheets!$B15,0)-IF(ROUNDDOWN(MOD($B15,parameters!$B$10),0)=parameters!$B$9,businessmodel!B$17*(1+parameters!$B$12)^rekensheets!$B15,0)</f>
        <v>-81.679845142175992</v>
      </c>
      <c r="D15" s="82">
        <f>IF(parameters!$B$4="corporatie",-businessmodel!C$16*(1+parameters!$B$11)^rekensheets!$B15,0)-IF(ROUNDDOWN(MOD($B15,parameters!$B$10),0)=parameters!$B$9,businessmodel!C$17*(1+parameters!$B$12)^rekensheets!$B15,0)</f>
        <v>-28.73920477224711</v>
      </c>
      <c r="E15" s="82">
        <f>IF(parameters!$B$4="corporatie",-businessmodel!D$16*(1+parameters!$B$11)^rekensheets!$B15,0)-IF(ROUNDDOWN(MOD($B15,parameters!$B$10),0)=parameters!$B$9,businessmodel!D$17*(1+parameters!$B$12)^rekensheets!$B15,0)</f>
        <v>-19.663666423116442</v>
      </c>
      <c r="F15" s="82">
        <f>IF(parameters!$B$4="corporatie",-businessmodel!E$16*(1+parameters!$B$11)^rekensheets!$B15,0)-IF(ROUNDDOWN(MOD($B15,parameters!$B$10),0)=parameters!$B$9,businessmodel!E$17*(1+parameters!$B$12)^rekensheets!$B15,0)</f>
        <v>-49.915460920218663</v>
      </c>
      <c r="G15" s="82">
        <f>IF(parameters!$B$4="corporatie",-businessmodel!F$16*(1+parameters!$B$11)^rekensheets!$B15,0)-IF(ROUNDDOWN(MOD($B15,parameters!$B$10),0)=parameters!$B$9,businessmodel!F$17*(1+parameters!$B$12)^rekensheets!$B15,0)</f>
        <v>-95.293152665872</v>
      </c>
      <c r="H15" s="82">
        <f>IF(parameters!$B$4="corporatie",-businessmodel!G$16*(1+parameters!$B$11)^rekensheets!$B15,0)-IF(ROUNDDOWN(MOD($B15,parameters!$B$10),0)=parameters!$B$9,businessmodel!G$17*(1+parameters!$B$12)^rekensheets!$B15,0)</f>
        <v>-30.251794497102221</v>
      </c>
      <c r="I15" s="82">
        <f>IF(parameters!$B$4="corporatie",-businessmodel!H$16*(1+parameters!$B$11)^rekensheets!$B15,0)-IF(ROUNDDOWN(MOD($B15,parameters!$B$10),0)=parameters!$B$9,businessmodel!H$17*(1+parameters!$B$12)^rekensheets!$B15,0)</f>
        <v>-33.27697394681244</v>
      </c>
      <c r="J15" s="82">
        <f>IF(parameters!$B$4="corporatie",-businessmodel!I$16*(1+parameters!$B$11)^rekensheets!$B15,0)-IF(ROUNDDOWN(MOD($B15,parameters!$B$10),0)=parameters!$B$9,businessmodel!I$17*(1+parameters!$B$12)^rekensheets!$B15,0)</f>
        <v>-37.814743121377774</v>
      </c>
      <c r="K15" s="82">
        <f>IF(parameters!$B$4="corporatie",-businessmodel!J$16*(1+parameters!$B$11)^rekensheets!$B15,0)-IF(ROUNDDOWN(MOD($B15,parameters!$B$10),0)=parameters!$B$9,businessmodel!J$17*(1+parameters!$B$12)^rekensheets!$B15,0)</f>
        <v>-52.940640369928886</v>
      </c>
      <c r="L15" s="82">
        <f>IF(parameters!$B$4="corporatie",-businessmodel!K$16*(1+parameters!$B$11)^rekensheets!$B15,0)-IF(ROUNDDOWN(MOD($B15,parameters!$B$10),0)=parameters!$B$9,businessmodel!K$17*(1+parameters!$B$12)^rekensheets!$B15,0)</f>
        <v>-18.151076698261331</v>
      </c>
      <c r="M15" s="82">
        <f>IF(parameters!$B$4="corporatie",-businessmodel!L$16*(1+parameters!$B$11)^rekensheets!$B15,0)-IF(ROUNDDOWN(MOD($B15,parameters!$B$10),0)=parameters!$B$9,businessmodel!L$17*(1+parameters!$B$12)^rekensheets!$B15,0)</f>
        <v>-15.125897248551111</v>
      </c>
      <c r="N15" s="82">
        <f>IF(parameters!$B$4="corporatie",-businessmodel!M$16*(1+parameters!$B$11)^rekensheets!$B15,0)-IF(ROUNDDOWN(MOD($B15,parameters!$B$10),0)=parameters!$B$9,businessmodel!M$17*(1+parameters!$B$12)^rekensheets!$B15,0)</f>
        <v>-66.55394789362488</v>
      </c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</row>
    <row r="16" spans="1:44" ht="13.8">
      <c r="B16" s="98">
        <v>15</v>
      </c>
      <c r="C16" s="82">
        <f>IF(parameters!$B$4="corporatie",-businessmodel!B$16*(1+parameters!$B$11)^rekensheets!$B16,0)-IF(ROUNDDOWN(MOD($B16,parameters!$B$10),0)=parameters!$B$9,businessmodel!B$17*(1+parameters!$B$12)^rekensheets!$B16,0)</f>
        <v>-84.130240496441274</v>
      </c>
      <c r="D16" s="82">
        <f>IF(parameters!$B$4="corporatie",-businessmodel!C$16*(1+parameters!$B$11)^rekensheets!$B16,0)-IF(ROUNDDOWN(MOD($B16,parameters!$B$10),0)=parameters!$B$9,businessmodel!C$17*(1+parameters!$B$12)^rekensheets!$B16,0)</f>
        <v>-29.601380915414524</v>
      </c>
      <c r="E16" s="82">
        <f>IF(parameters!$B$4="corporatie",-businessmodel!D$16*(1+parameters!$B$11)^rekensheets!$B16,0)-IF(ROUNDDOWN(MOD($B16,parameters!$B$10),0)=parameters!$B$9,businessmodel!D$17*(1+parameters!$B$12)^rekensheets!$B16,0)</f>
        <v>-20.253576415809938</v>
      </c>
      <c r="F16" s="82">
        <f>IF(parameters!$B$4="corporatie",-businessmodel!E$16*(1+parameters!$B$11)^rekensheets!$B16,0)-IF(ROUNDDOWN(MOD($B16,parameters!$B$10),0)=parameters!$B$9,businessmodel!E$17*(1+parameters!$B$12)^rekensheets!$B16,0)</f>
        <v>-51.41292474782523</v>
      </c>
      <c r="G16" s="82">
        <f>IF(parameters!$B$4="corporatie",-businessmodel!F$16*(1+parameters!$B$11)^rekensheets!$B16,0)-IF(ROUNDDOWN(MOD($B16,parameters!$B$10),0)=parameters!$B$9,businessmodel!F$17*(1+parameters!$B$12)^rekensheets!$B16,0)</f>
        <v>-98.151947245848163</v>
      </c>
      <c r="H16" s="82">
        <f>IF(parameters!$B$4="corporatie",-businessmodel!G$16*(1+parameters!$B$11)^rekensheets!$B16,0)-IF(ROUNDDOWN(MOD($B16,parameters!$B$10),0)=parameters!$B$9,businessmodel!G$17*(1+parameters!$B$12)^rekensheets!$B16,0)</f>
        <v>-31.159348332015288</v>
      </c>
      <c r="I16" s="82">
        <f>IF(parameters!$B$4="corporatie",-businessmodel!H$16*(1+parameters!$B$11)^rekensheets!$B16,0)-IF(ROUNDDOWN(MOD($B16,parameters!$B$10),0)=parameters!$B$9,businessmodel!H$17*(1+parameters!$B$12)^rekensheets!$B16,0)</f>
        <v>-34.27528316521682</v>
      </c>
      <c r="J16" s="82">
        <f>IF(parameters!$B$4="corporatie",-businessmodel!I$16*(1+parameters!$B$11)^rekensheets!$B16,0)-IF(ROUNDDOWN(MOD($B16,parameters!$B$10),0)=parameters!$B$9,businessmodel!I$17*(1+parameters!$B$12)^rekensheets!$B16,0)</f>
        <v>-38.949185415019109</v>
      </c>
      <c r="K16" s="82">
        <f>IF(parameters!$B$4="corporatie",-businessmodel!J$16*(1+parameters!$B$11)^rekensheets!$B16,0)-IF(ROUNDDOWN(MOD($B16,parameters!$B$10),0)=parameters!$B$9,businessmodel!J$17*(1+parameters!$B$12)^rekensheets!$B16,0)</f>
        <v>-54.528859581026758</v>
      </c>
      <c r="L16" s="82">
        <f>IF(parameters!$B$4="corporatie",-businessmodel!K$16*(1+parameters!$B$11)^rekensheets!$B16,0)-IF(ROUNDDOWN(MOD($B16,parameters!$B$10),0)=parameters!$B$9,businessmodel!K$17*(1+parameters!$B$12)^rekensheets!$B16,0)</f>
        <v>-18.695608999209174</v>
      </c>
      <c r="M16" s="82">
        <f>IF(parameters!$B$4="corporatie",-businessmodel!L$16*(1+parameters!$B$11)^rekensheets!$B16,0)-IF(ROUNDDOWN(MOD($B16,parameters!$B$10),0)=parameters!$B$9,businessmodel!L$17*(1+parameters!$B$12)^rekensheets!$B16,0)</f>
        <v>-15.579674166007644</v>
      </c>
      <c r="N16" s="82">
        <f>IF(parameters!$B$4="corporatie",-businessmodel!M$16*(1+parameters!$B$11)^rekensheets!$B16,0)-IF(ROUNDDOWN(MOD($B16,parameters!$B$10),0)=parameters!$B$9,businessmodel!M$17*(1+parameters!$B$12)^rekensheets!$B16,0)</f>
        <v>-68.550566330433639</v>
      </c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</row>
    <row r="17" spans="1:44" ht="13.8">
      <c r="B17" s="98">
        <v>16</v>
      </c>
      <c r="C17" s="82">
        <f>IF(parameters!$B$4="corporatie",-businessmodel!B$16*(1+parameters!$B$11)^rekensheets!$B17,0)-IF(ROUNDDOWN(MOD($B17,parameters!$B$10),0)=parameters!$B$9,businessmodel!B$17*(1+parameters!$B$12)^rekensheets!$B17,0)</f>
        <v>-86.654147711334502</v>
      </c>
      <c r="D17" s="82">
        <f>IF(parameters!$B$4="corporatie",-businessmodel!C$16*(1+parameters!$B$11)^rekensheets!$B17,0)-IF(ROUNDDOWN(MOD($B17,parameters!$B$10),0)=parameters!$B$9,businessmodel!C$17*(1+parameters!$B$12)^rekensheets!$B17,0)</f>
        <v>-30.489422342876953</v>
      </c>
      <c r="E17" s="82">
        <f>IF(parameters!$B$4="corporatie",-businessmodel!D$16*(1+parameters!$B$11)^rekensheets!$B17,0)-IF(ROUNDDOWN(MOD($B17,parameters!$B$10),0)=parameters!$B$9,businessmodel!D$17*(1+parameters!$B$12)^rekensheets!$B17,0)</f>
        <v>-20.861183708284234</v>
      </c>
      <c r="F17" s="82">
        <f>IF(parameters!$B$4="corporatie",-businessmodel!E$16*(1+parameters!$B$11)^rekensheets!$B17,0)-IF(ROUNDDOWN(MOD($B17,parameters!$B$10),0)=parameters!$B$9,businessmodel!E$17*(1+parameters!$B$12)^rekensheets!$B17,0)</f>
        <v>-52.955312490259971</v>
      </c>
      <c r="G17" s="82">
        <f>IF(parameters!$B$4="corporatie",-businessmodel!F$16*(1+parameters!$B$11)^rekensheets!$B17,0)-IF(ROUNDDOWN(MOD($B17,parameters!$B$10),0)=parameters!$B$9,businessmodel!F$17*(1+parameters!$B$12)^rekensheets!$B17,0)</f>
        <v>-101.09650566322358</v>
      </c>
      <c r="H17" s="82">
        <f>IF(parameters!$B$4="corporatie",-businessmodel!G$16*(1+parameters!$B$11)^rekensheets!$B17,0)-IF(ROUNDDOWN(MOD($B17,parameters!$B$10),0)=parameters!$B$9,businessmodel!G$17*(1+parameters!$B$12)^rekensheets!$B17,0)</f>
        <v>-32.094128781975741</v>
      </c>
      <c r="I17" s="82">
        <f>IF(parameters!$B$4="corporatie",-businessmodel!H$16*(1+parameters!$B$11)^rekensheets!$B17,0)-IF(ROUNDDOWN(MOD($B17,parameters!$B$10),0)=parameters!$B$9,businessmodel!H$17*(1+parameters!$B$12)^rekensheets!$B17,0)</f>
        <v>-35.303541660173316</v>
      </c>
      <c r="J17" s="82">
        <f>IF(parameters!$B$4="corporatie",-businessmodel!I$16*(1+parameters!$B$11)^rekensheets!$B17,0)-IF(ROUNDDOWN(MOD($B17,parameters!$B$10),0)=parameters!$B$9,businessmodel!I$17*(1+parameters!$B$12)^rekensheets!$B17,0)</f>
        <v>-40.117660977469676</v>
      </c>
      <c r="K17" s="82">
        <f>IF(parameters!$B$4="corporatie",-businessmodel!J$16*(1+parameters!$B$11)^rekensheets!$B17,0)-IF(ROUNDDOWN(MOD($B17,parameters!$B$10),0)=parameters!$B$9,businessmodel!J$17*(1+parameters!$B$12)^rekensheets!$B17,0)</f>
        <v>-56.164725368457546</v>
      </c>
      <c r="L17" s="82">
        <f>IF(parameters!$B$4="corporatie",-businessmodel!K$16*(1+parameters!$B$11)^rekensheets!$B17,0)-IF(ROUNDDOWN(MOD($B17,parameters!$B$10),0)=parameters!$B$9,businessmodel!K$17*(1+parameters!$B$12)^rekensheets!$B17,0)</f>
        <v>-19.256477269185446</v>
      </c>
      <c r="M17" s="82">
        <f>IF(parameters!$B$4="corporatie",-businessmodel!L$16*(1+parameters!$B$11)^rekensheets!$B17,0)-IF(ROUNDDOWN(MOD($B17,parameters!$B$10),0)=parameters!$B$9,businessmodel!L$17*(1+parameters!$B$12)^rekensheets!$B17,0)</f>
        <v>-16.04706439098787</v>
      </c>
      <c r="N17" s="82">
        <f>IF(parameters!$B$4="corporatie",-businessmodel!M$16*(1+parameters!$B$11)^rekensheets!$B17,0)-IF(ROUNDDOWN(MOD($B17,parameters!$B$10),0)=parameters!$B$9,businessmodel!M$17*(1+parameters!$B$12)^rekensheets!$B17,0)</f>
        <v>-70.607083320346632</v>
      </c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</row>
    <row r="18" spans="1:44" ht="13.8">
      <c r="B18" s="98">
        <v>17</v>
      </c>
      <c r="C18" s="82">
        <f>IF(parameters!$B$4="corporatie",-businessmodel!B$16*(1+parameters!$B$11)^rekensheets!$B18,0)-IF(ROUNDDOWN(MOD($B18,parameters!$B$10),0)=parameters!$B$9,businessmodel!B$17*(1+parameters!$B$12)^rekensheets!$B18,0)</f>
        <v>-89.253772142674535</v>
      </c>
      <c r="D18" s="82">
        <f>IF(parameters!$B$4="corporatie",-businessmodel!C$16*(1+parameters!$B$11)^rekensheets!$B18,0)-IF(ROUNDDOWN(MOD($B18,parameters!$B$10),0)=parameters!$B$9,businessmodel!C$17*(1+parameters!$B$12)^rekensheets!$B18,0)</f>
        <v>-31.404105013163264</v>
      </c>
      <c r="E18" s="82">
        <f>IF(parameters!$B$4="corporatie",-businessmodel!D$16*(1+parameters!$B$11)^rekensheets!$B18,0)-IF(ROUNDDOWN(MOD($B18,parameters!$B$10),0)=parameters!$B$9,businessmodel!D$17*(1+parameters!$B$12)^rekensheets!$B18,0)</f>
        <v>-21.487019219532758</v>
      </c>
      <c r="F18" s="82">
        <f>IF(parameters!$B$4="corporatie",-businessmodel!E$16*(1+parameters!$B$11)^rekensheets!$B18,0)-IF(ROUNDDOWN(MOD($B18,parameters!$B$10),0)=parameters!$B$9,businessmodel!E$17*(1+parameters!$B$12)^rekensheets!$B18,0)</f>
        <v>-54.543971864967773</v>
      </c>
      <c r="G18" s="82">
        <f>IF(parameters!$B$4="corporatie",-businessmodel!F$16*(1+parameters!$B$11)^rekensheets!$B18,0)-IF(ROUNDDOWN(MOD($B18,parameters!$B$10),0)=parameters!$B$9,businessmodel!F$17*(1+parameters!$B$12)^rekensheets!$B18,0)</f>
        <v>-104.1294008331203</v>
      </c>
      <c r="H18" s="82">
        <f>IF(parameters!$B$4="corporatie",-businessmodel!G$16*(1+parameters!$B$11)^rekensheets!$B18,0)-IF(ROUNDDOWN(MOD($B18,parameters!$B$10),0)=parameters!$B$9,businessmodel!G$17*(1+parameters!$B$12)^rekensheets!$B18,0)</f>
        <v>-33.056952645435011</v>
      </c>
      <c r="I18" s="82">
        <f>IF(parameters!$B$4="corporatie",-businessmodel!H$16*(1+parameters!$B$11)^rekensheets!$B18,0)-IF(ROUNDDOWN(MOD($B18,parameters!$B$10),0)=parameters!$B$9,businessmodel!H$17*(1+parameters!$B$12)^rekensheets!$B18,0)</f>
        <v>-36.362647909978513</v>
      </c>
      <c r="J18" s="82">
        <f>IF(parameters!$B$4="corporatie",-businessmodel!I$16*(1+parameters!$B$11)^rekensheets!$B18,0)-IF(ROUNDDOWN(MOD($B18,parameters!$B$10),0)=parameters!$B$9,businessmodel!I$17*(1+parameters!$B$12)^rekensheets!$B18,0)</f>
        <v>-41.321190806793766</v>
      </c>
      <c r="K18" s="82">
        <f>IF(parameters!$B$4="corporatie",-businessmodel!J$16*(1+parameters!$B$11)^rekensheets!$B18,0)-IF(ROUNDDOWN(MOD($B18,parameters!$B$10),0)=parameters!$B$9,businessmodel!J$17*(1+parameters!$B$12)^rekensheets!$B18,0)</f>
        <v>-57.849667129511275</v>
      </c>
      <c r="L18" s="82">
        <f>IF(parameters!$B$4="corporatie",-businessmodel!K$16*(1+parameters!$B$11)^rekensheets!$B18,0)-IF(ROUNDDOWN(MOD($B18,parameters!$B$10),0)=parameters!$B$9,businessmodel!K$17*(1+parameters!$B$12)^rekensheets!$B18,0)</f>
        <v>-19.834171587261007</v>
      </c>
      <c r="M18" s="82">
        <f>IF(parameters!$B$4="corporatie",-businessmodel!L$16*(1+parameters!$B$11)^rekensheets!$B18,0)-IF(ROUNDDOWN(MOD($B18,parameters!$B$10),0)=parameters!$B$9,businessmodel!L$17*(1+parameters!$B$12)^rekensheets!$B18,0)</f>
        <v>-16.528476322717506</v>
      </c>
      <c r="N18" s="82">
        <f>IF(parameters!$B$4="corporatie",-businessmodel!M$16*(1+parameters!$B$11)^rekensheets!$B18,0)-IF(ROUNDDOWN(MOD($B18,parameters!$B$10),0)=parameters!$B$9,businessmodel!M$17*(1+parameters!$B$12)^rekensheets!$B18,0)</f>
        <v>-72.725295819957026</v>
      </c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</row>
    <row r="19" spans="1:44" ht="13.8">
      <c r="B19" s="98">
        <v>18</v>
      </c>
      <c r="C19" s="82">
        <f>IF(parameters!$B$4="corporatie",-businessmodel!B$16*(1+parameters!$B$11)^rekensheets!$B19,0)-IF(ROUNDDOWN(MOD($B19,parameters!$B$10),0)=parameters!$B$9,businessmodel!B$17*(1+parameters!$B$12)^rekensheets!$B19,0)</f>
        <v>-91.93138530695478</v>
      </c>
      <c r="D19" s="82">
        <f>IF(parameters!$B$4="corporatie",-businessmodel!C$16*(1+parameters!$B$11)^rekensheets!$B19,0)-IF(ROUNDDOWN(MOD($B19,parameters!$B$10),0)=parameters!$B$9,businessmodel!C$17*(1+parameters!$B$12)^rekensheets!$B19,0)</f>
        <v>-32.346228163558159</v>
      </c>
      <c r="E19" s="82">
        <f>IF(parameters!$B$4="corporatie",-businessmodel!D$16*(1+parameters!$B$11)^rekensheets!$B19,0)-IF(ROUNDDOWN(MOD($B19,parameters!$B$10),0)=parameters!$B$9,businessmodel!D$17*(1+parameters!$B$12)^rekensheets!$B19,0)</f>
        <v>-22.131629796118741</v>
      </c>
      <c r="F19" s="82">
        <f>IF(parameters!$B$4="corporatie",-businessmodel!E$16*(1+parameters!$B$11)^rekensheets!$B19,0)-IF(ROUNDDOWN(MOD($B19,parameters!$B$10),0)=parameters!$B$9,businessmodel!E$17*(1+parameters!$B$12)^rekensheets!$B19,0)</f>
        <v>-56.180291020916805</v>
      </c>
      <c r="G19" s="82">
        <f>IF(parameters!$B$4="corporatie",-businessmodel!F$16*(1+parameters!$B$11)^rekensheets!$B19,0)-IF(ROUNDDOWN(MOD($B19,parameters!$B$10),0)=parameters!$B$9,businessmodel!F$17*(1+parameters!$B$12)^rekensheets!$B19,0)</f>
        <v>-107.25328285811391</v>
      </c>
      <c r="H19" s="82">
        <f>IF(parameters!$B$4="corporatie",-businessmodel!G$16*(1+parameters!$B$11)^rekensheets!$B19,0)-IF(ROUNDDOWN(MOD($B19,parameters!$B$10),0)=parameters!$B$9,businessmodel!G$17*(1+parameters!$B$12)^rekensheets!$B19,0)</f>
        <v>-34.048661224798067</v>
      </c>
      <c r="I19" s="82">
        <f>IF(parameters!$B$4="corporatie",-businessmodel!H$16*(1+parameters!$B$11)^rekensheets!$B19,0)-IF(ROUNDDOWN(MOD($B19,parameters!$B$10),0)=parameters!$B$9,businessmodel!H$17*(1+parameters!$B$12)^rekensheets!$B19,0)</f>
        <v>-37.45352734727787</v>
      </c>
      <c r="J19" s="82">
        <f>IF(parameters!$B$4="corporatie",-businessmodel!I$16*(1+parameters!$B$11)^rekensheets!$B19,0)-IF(ROUNDDOWN(MOD($B19,parameters!$B$10),0)=parameters!$B$9,businessmodel!I$17*(1+parameters!$B$12)^rekensheets!$B19,0)</f>
        <v>-42.560826530997581</v>
      </c>
      <c r="K19" s="82">
        <f>IF(parameters!$B$4="corporatie",-businessmodel!J$16*(1+parameters!$B$11)^rekensheets!$B19,0)-IF(ROUNDDOWN(MOD($B19,parameters!$B$10),0)=parameters!$B$9,businessmodel!J$17*(1+parameters!$B$12)^rekensheets!$B19,0)</f>
        <v>-59.585157143396614</v>
      </c>
      <c r="L19" s="82">
        <f>IF(parameters!$B$4="corporatie",-businessmodel!K$16*(1+parameters!$B$11)^rekensheets!$B19,0)-IF(ROUNDDOWN(MOD($B19,parameters!$B$10),0)=parameters!$B$9,businessmodel!K$17*(1+parameters!$B$12)^rekensheets!$B19,0)</f>
        <v>-20.42919673487884</v>
      </c>
      <c r="M19" s="82">
        <f>IF(parameters!$B$4="corporatie",-businessmodel!L$16*(1+parameters!$B$11)^rekensheets!$B19,0)-IF(ROUNDDOWN(MOD($B19,parameters!$B$10),0)=parameters!$B$9,businessmodel!L$17*(1+parameters!$B$12)^rekensheets!$B19,0)</f>
        <v>-17.024330612399034</v>
      </c>
      <c r="N19" s="82">
        <f>IF(parameters!$B$4="corporatie",-businessmodel!M$16*(1+parameters!$B$11)^rekensheets!$B19,0)-IF(ROUNDDOWN(MOD($B19,parameters!$B$10),0)=parameters!$B$9,businessmodel!M$17*(1+parameters!$B$12)^rekensheets!$B19,0)</f>
        <v>-74.90705469455574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</row>
    <row r="20" spans="1:44" ht="13.8">
      <c r="B20" s="98">
        <v>19</v>
      </c>
      <c r="C20" s="82">
        <f>IF(parameters!$B$4="corporatie",-businessmodel!B$16*(1+parameters!$B$11)^rekensheets!$B20,0)-IF(ROUNDDOWN(MOD($B20,parameters!$B$10),0)=parameters!$B$9,businessmodel!B$17*(1+parameters!$B$12)^rekensheets!$B20,0)</f>
        <v>-94.689326866163412</v>
      </c>
      <c r="D20" s="82">
        <f>IF(parameters!$B$4="corporatie",-businessmodel!C$16*(1+parameters!$B$11)^rekensheets!$B20,0)-IF(ROUNDDOWN(MOD($B20,parameters!$B$10),0)=parameters!$B$9,businessmodel!C$17*(1+parameters!$B$12)^rekensheets!$B20,0)</f>
        <v>-33.316615008464908</v>
      </c>
      <c r="E20" s="82">
        <f>IF(parameters!$B$4="corporatie",-businessmodel!D$16*(1+parameters!$B$11)^rekensheets!$B20,0)-IF(ROUNDDOWN(MOD($B20,parameters!$B$10),0)=parameters!$B$9,businessmodel!D$17*(1+parameters!$B$12)^rekensheets!$B20,0)</f>
        <v>-22.795578690002305</v>
      </c>
      <c r="F20" s="82">
        <f>IF(parameters!$B$4="corporatie",-businessmodel!E$16*(1+parameters!$B$11)^rekensheets!$B20,0)-IF(ROUNDDOWN(MOD($B20,parameters!$B$10),0)=parameters!$B$9,businessmodel!E$17*(1+parameters!$B$12)^rekensheets!$B20,0)</f>
        <v>-57.865699751544312</v>
      </c>
      <c r="G20" s="82">
        <f>IF(parameters!$B$4="corporatie",-businessmodel!F$16*(1+parameters!$B$11)^rekensheets!$B20,0)-IF(ROUNDDOWN(MOD($B20,parameters!$B$10),0)=parameters!$B$9,businessmodel!F$17*(1+parameters!$B$12)^rekensheets!$B20,0)</f>
        <v>-110.47088134385731</v>
      </c>
      <c r="H20" s="82">
        <f>IF(parameters!$B$4="corporatie",-businessmodel!G$16*(1+parameters!$B$11)^rekensheets!$B20,0)-IF(ROUNDDOWN(MOD($B20,parameters!$B$10),0)=parameters!$B$9,businessmodel!G$17*(1+parameters!$B$12)^rekensheets!$B20,0)</f>
        <v>-35.070121061542004</v>
      </c>
      <c r="I20" s="82">
        <f>IF(parameters!$B$4="corporatie",-businessmodel!H$16*(1+parameters!$B$11)^rekensheets!$B20,0)-IF(ROUNDDOWN(MOD($B20,parameters!$B$10),0)=parameters!$B$9,businessmodel!H$17*(1+parameters!$B$12)^rekensheets!$B20,0)</f>
        <v>-38.577133167696203</v>
      </c>
      <c r="J20" s="82">
        <f>IF(parameters!$B$4="corporatie",-businessmodel!I$16*(1+parameters!$B$11)^rekensheets!$B20,0)-IF(ROUNDDOWN(MOD($B20,parameters!$B$10),0)=parameters!$B$9,businessmodel!I$17*(1+parameters!$B$12)^rekensheets!$B20,0)</f>
        <v>-43.837651326927507</v>
      </c>
      <c r="K20" s="82">
        <f>IF(parameters!$B$4="corporatie",-businessmodel!J$16*(1+parameters!$B$11)^rekensheets!$B20,0)-IF(ROUNDDOWN(MOD($B20,parameters!$B$10),0)=parameters!$B$9,businessmodel!J$17*(1+parameters!$B$12)^rekensheets!$B20,0)</f>
        <v>-61.372711857698512</v>
      </c>
      <c r="L20" s="82">
        <f>IF(parameters!$B$4="corporatie",-businessmodel!K$16*(1+parameters!$B$11)^rekensheets!$B20,0)-IF(ROUNDDOWN(MOD($B20,parameters!$B$10),0)=parameters!$B$9,businessmodel!K$17*(1+parameters!$B$12)^rekensheets!$B20,0)</f>
        <v>-21.042072636925205</v>
      </c>
      <c r="M20" s="82">
        <f>IF(parameters!$B$4="corporatie",-businessmodel!L$16*(1+parameters!$B$11)^rekensheets!$B20,0)-IF(ROUNDDOWN(MOD($B20,parameters!$B$10),0)=parameters!$B$9,businessmodel!L$17*(1+parameters!$B$12)^rekensheets!$B20,0)</f>
        <v>-17.535060530771002</v>
      </c>
      <c r="N20" s="82">
        <f>IF(parameters!$B$4="corporatie",-businessmodel!M$16*(1+parameters!$B$11)^rekensheets!$B20,0)-IF(ROUNDDOWN(MOD($B20,parameters!$B$10),0)=parameters!$B$9,businessmodel!M$17*(1+parameters!$B$12)^rekensheets!$B20,0)</f>
        <v>-77.154266335392407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</row>
    <row r="21" spans="1:44" ht="13.8">
      <c r="B21" s="98">
        <v>20</v>
      </c>
      <c r="C21" s="82">
        <f>IF(parameters!$B$4="corporatie",-businessmodel!B$16*(1+parameters!$B$11)^rekensheets!$B21,0)-IF(ROUNDDOWN(MOD($B21,parameters!$B$10),0)=parameters!$B$9,businessmodel!B$17*(1+parameters!$B$12)^rekensheets!$B21,0)</f>
        <v>-97.530006672148318</v>
      </c>
      <c r="D21" s="82">
        <f>IF(parameters!$B$4="corporatie",-businessmodel!C$16*(1+parameters!$B$11)^rekensheets!$B21,0)-IF(ROUNDDOWN(MOD($B21,parameters!$B$10),0)=parameters!$B$9,businessmodel!C$17*(1+parameters!$B$12)^rekensheets!$B21,0)</f>
        <v>-34.316113458718853</v>
      </c>
      <c r="E21" s="82">
        <f>IF(parameters!$B$4="corporatie",-businessmodel!D$16*(1+parameters!$B$11)^rekensheets!$B21,0)-IF(ROUNDDOWN(MOD($B21,parameters!$B$10),0)=parameters!$B$9,businessmodel!D$17*(1+parameters!$B$12)^rekensheets!$B21,0)</f>
        <v>-23.479446050702371</v>
      </c>
      <c r="F21" s="82">
        <f>IF(parameters!$B$4="corporatie",-businessmodel!E$16*(1+parameters!$B$11)^rekensheets!$B21,0)-IF(ROUNDDOWN(MOD($B21,parameters!$B$10),0)=parameters!$B$9,businessmodel!E$17*(1+parameters!$B$12)^rekensheets!$B21,0)</f>
        <v>-59.60167074409064</v>
      </c>
      <c r="G21" s="82">
        <f>IF(parameters!$B$4="corporatie",-businessmodel!F$16*(1+parameters!$B$11)^rekensheets!$B21,0)-IF(ROUNDDOWN(MOD($B21,parameters!$B$10),0)=parameters!$B$9,businessmodel!F$17*(1+parameters!$B$12)^rekensheets!$B21,0)</f>
        <v>-113.78500778417303</v>
      </c>
      <c r="H21" s="82">
        <f>IF(parameters!$B$4="corporatie",-businessmodel!G$16*(1+parameters!$B$11)^rekensheets!$B21,0)-IF(ROUNDDOWN(MOD($B21,parameters!$B$10),0)=parameters!$B$9,businessmodel!G$17*(1+parameters!$B$12)^rekensheets!$B21,0)</f>
        <v>-36.122224693388262</v>
      </c>
      <c r="I21" s="82">
        <f>IF(parameters!$B$4="corporatie",-businessmodel!H$16*(1+parameters!$B$11)^rekensheets!$B21,0)-IF(ROUNDDOWN(MOD($B21,parameters!$B$10),0)=parameters!$B$9,businessmodel!H$17*(1+parameters!$B$12)^rekensheets!$B21,0)</f>
        <v>-39.734447162727093</v>
      </c>
      <c r="J21" s="82">
        <f>IF(parameters!$B$4="corporatie",-businessmodel!I$16*(1+parameters!$B$11)^rekensheets!$B21,0)-IF(ROUNDDOWN(MOD($B21,parameters!$B$10),0)=parameters!$B$9,businessmodel!I$17*(1+parameters!$B$12)^rekensheets!$B21,0)</f>
        <v>-45.152780866735334</v>
      </c>
      <c r="K21" s="82">
        <f>IF(parameters!$B$4="corporatie",-businessmodel!J$16*(1+parameters!$B$11)^rekensheets!$B21,0)-IF(ROUNDDOWN(MOD($B21,parameters!$B$10),0)=parameters!$B$9,businessmodel!J$17*(1+parameters!$B$12)^rekensheets!$B21,0)</f>
        <v>-63.213893213429465</v>
      </c>
      <c r="L21" s="82">
        <f>IF(parameters!$B$4="corporatie",-businessmodel!K$16*(1+parameters!$B$11)^rekensheets!$B21,0)-IF(ROUNDDOWN(MOD($B21,parameters!$B$10),0)=parameters!$B$9,businessmodel!K$17*(1+parameters!$B$12)^rekensheets!$B21,0)</f>
        <v>-21.673334816032959</v>
      </c>
      <c r="M21" s="82">
        <f>IF(parameters!$B$4="corporatie",-businessmodel!L$16*(1+parameters!$B$11)^rekensheets!$B21,0)-IF(ROUNDDOWN(MOD($B21,parameters!$B$10),0)=parameters!$B$9,businessmodel!L$17*(1+parameters!$B$12)^rekensheets!$B21,0)</f>
        <v>-18.061112346694131</v>
      </c>
      <c r="N21" s="82">
        <f>IF(parameters!$B$4="corporatie",-businessmodel!M$16*(1+parameters!$B$11)^rekensheets!$B21,0)-IF(ROUNDDOWN(MOD($B21,parameters!$B$10),0)=parameters!$B$9,businessmodel!M$17*(1+parameters!$B$12)^rekensheets!$B21,0)</f>
        <v>-79.468894325454187</v>
      </c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</row>
    <row r="22" spans="1:44" ht="13.8">
      <c r="B22" s="99">
        <f t="shared" ref="B22:B41" si="0">B21+1</f>
        <v>21</v>
      </c>
      <c r="C22" s="82">
        <f>IF(parameters!$B$4="corporatie",-businessmodel!B$16*(1+parameters!$B$11)^rekensheets!$B22,0)-IF(ROUNDDOWN(MOD($B22,parameters!$B$10),0)=parameters!$B$9,businessmodel!B$17*(1+parameters!$B$12)^rekensheets!$B22,0)</f>
        <v>-100.45590687231275</v>
      </c>
      <c r="D22" s="82">
        <f>IF(parameters!$B$4="corporatie",-businessmodel!C$16*(1+parameters!$B$11)^rekensheets!$B22,0)-IF(ROUNDDOWN(MOD($B22,parameters!$B$10),0)=parameters!$B$9,businessmodel!C$17*(1+parameters!$B$12)^rekensheets!$B22,0)</f>
        <v>-35.345596862480413</v>
      </c>
      <c r="E22" s="82">
        <f>IF(parameters!$B$4="corporatie",-businessmodel!D$16*(1+parameters!$B$11)^rekensheets!$B22,0)-IF(ROUNDDOWN(MOD($B22,parameters!$B$10),0)=parameters!$B$9,businessmodel!D$17*(1+parameters!$B$12)^rekensheets!$B22,0)</f>
        <v>-24.18382943222344</v>
      </c>
      <c r="F22" s="82">
        <f>IF(parameters!$B$4="corporatie",-businessmodel!E$16*(1+parameters!$B$11)^rekensheets!$B22,0)-IF(ROUNDDOWN(MOD($B22,parameters!$B$10),0)=parameters!$B$9,businessmodel!E$17*(1+parameters!$B$12)^rekensheets!$B22,0)</f>
        <v>-61.389720866413349</v>
      </c>
      <c r="G22" s="82">
        <f>IF(parameters!$B$4="corporatie",-businessmodel!F$16*(1+parameters!$B$11)^rekensheets!$B22,0)-IF(ROUNDDOWN(MOD($B22,parameters!$B$10),0)=parameters!$B$9,businessmodel!F$17*(1+parameters!$B$12)^rekensheets!$B22,0)</f>
        <v>-117.19855801769822</v>
      </c>
      <c r="H22" s="82">
        <f>IF(parameters!$B$4="corporatie",-businessmodel!G$16*(1+parameters!$B$11)^rekensheets!$B22,0)-IF(ROUNDDOWN(MOD($B22,parameters!$B$10),0)=parameters!$B$9,businessmodel!G$17*(1+parameters!$B$12)^rekensheets!$B22,0)</f>
        <v>-37.205891434189908</v>
      </c>
      <c r="I22" s="82">
        <f>IF(parameters!$B$4="corporatie",-businessmodel!H$16*(1+parameters!$B$11)^rekensheets!$B22,0)-IF(ROUNDDOWN(MOD($B22,parameters!$B$10),0)=parameters!$B$9,businessmodel!H$17*(1+parameters!$B$12)^rekensheets!$B22,0)</f>
        <v>-40.926480577608899</v>
      </c>
      <c r="J22" s="82">
        <f>IF(parameters!$B$4="corporatie",-businessmodel!I$16*(1+parameters!$B$11)^rekensheets!$B22,0)-IF(ROUNDDOWN(MOD($B22,parameters!$B$10),0)=parameters!$B$9,businessmodel!I$17*(1+parameters!$B$12)^rekensheets!$B22,0)</f>
        <v>-46.507364292737385</v>
      </c>
      <c r="K22" s="82">
        <f>IF(parameters!$B$4="corporatie",-businessmodel!J$16*(1+parameters!$B$11)^rekensheets!$B22,0)-IF(ROUNDDOWN(MOD($B22,parameters!$B$10),0)=parameters!$B$9,businessmodel!J$17*(1+parameters!$B$12)^rekensheets!$B22,0)</f>
        <v>-65.110310009832347</v>
      </c>
      <c r="L22" s="82">
        <f>IF(parameters!$B$4="corporatie",-businessmodel!K$16*(1+parameters!$B$11)^rekensheets!$B22,0)-IF(ROUNDDOWN(MOD($B22,parameters!$B$10),0)=parameters!$B$9,businessmodel!K$17*(1+parameters!$B$12)^rekensheets!$B22,0)</f>
        <v>-22.323534860513945</v>
      </c>
      <c r="M22" s="82">
        <f>IF(parameters!$B$4="corporatie",-businessmodel!L$16*(1+parameters!$B$11)^rekensheets!$B22,0)-IF(ROUNDDOWN(MOD($B22,parameters!$B$10),0)=parameters!$B$9,businessmodel!L$17*(1+parameters!$B$12)^rekensheets!$B22,0)</f>
        <v>-18.602945717094954</v>
      </c>
      <c r="N22" s="82">
        <f>IF(parameters!$B$4="corporatie",-businessmodel!M$16*(1+parameters!$B$11)^rekensheets!$B22,0)-IF(ROUNDDOWN(MOD($B22,parameters!$B$10),0)=parameters!$B$9,businessmodel!M$17*(1+parameters!$B$12)^rekensheets!$B22,0)</f>
        <v>-81.852961155217798</v>
      </c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</row>
    <row r="23" spans="1:44" ht="13.8">
      <c r="B23" s="99">
        <f t="shared" si="0"/>
        <v>22</v>
      </c>
      <c r="C23" s="82">
        <f>IF(parameters!$B$4="corporatie",-businessmodel!B$16*(1+parameters!$B$11)^rekensheets!$B23,0)-IF(ROUNDDOWN(MOD($B23,parameters!$B$10),0)=parameters!$B$9,businessmodel!B$17*(1+parameters!$B$12)^rekensheets!$B23,0)</f>
        <v>-103.46958407848214</v>
      </c>
      <c r="D23" s="82">
        <f>IF(parameters!$B$4="corporatie",-businessmodel!C$16*(1+parameters!$B$11)^rekensheets!$B23,0)-IF(ROUNDDOWN(MOD($B23,parameters!$B$10),0)=parameters!$B$9,businessmodel!C$17*(1+parameters!$B$12)^rekensheets!$B23,0)</f>
        <v>-36.405964768354828</v>
      </c>
      <c r="E23" s="82">
        <f>IF(parameters!$B$4="corporatie",-businessmodel!D$16*(1+parameters!$B$11)^rekensheets!$B23,0)-IF(ROUNDDOWN(MOD($B23,parameters!$B$10),0)=parameters!$B$9,businessmodel!D$17*(1+parameters!$B$12)^rekensheets!$B23,0)</f>
        <v>-24.909344315190147</v>
      </c>
      <c r="F23" s="82">
        <f>IF(parameters!$B$4="corporatie",-businessmodel!E$16*(1+parameters!$B$11)^rekensheets!$B23,0)-IF(ROUNDDOWN(MOD($B23,parameters!$B$10),0)=parameters!$B$9,businessmodel!E$17*(1+parameters!$B$12)^rekensheets!$B23,0)</f>
        <v>-63.231412492405752</v>
      </c>
      <c r="G23" s="82">
        <f>IF(parameters!$B$4="corporatie",-businessmodel!F$16*(1+parameters!$B$11)^rekensheets!$B23,0)-IF(ROUNDDOWN(MOD($B23,parameters!$B$10),0)=parameters!$B$9,businessmodel!F$17*(1+parameters!$B$12)^rekensheets!$B23,0)</f>
        <v>-120.71451475822917</v>
      </c>
      <c r="H23" s="82">
        <f>IF(parameters!$B$4="corporatie",-businessmodel!G$16*(1+parameters!$B$11)^rekensheets!$B23,0)-IF(ROUNDDOWN(MOD($B23,parameters!$B$10),0)=parameters!$B$9,businessmodel!G$17*(1+parameters!$B$12)^rekensheets!$B23,0)</f>
        <v>-38.322068177215613</v>
      </c>
      <c r="I23" s="82">
        <f>IF(parameters!$B$4="corporatie",-businessmodel!H$16*(1+parameters!$B$11)^rekensheets!$B23,0)-IF(ROUNDDOWN(MOD($B23,parameters!$B$10),0)=parameters!$B$9,businessmodel!H$17*(1+parameters!$B$12)^rekensheets!$B23,0)</f>
        <v>-42.154274994937168</v>
      </c>
      <c r="J23" s="82">
        <f>IF(parameters!$B$4="corporatie",-businessmodel!I$16*(1+parameters!$B$11)^rekensheets!$B23,0)-IF(ROUNDDOWN(MOD($B23,parameters!$B$10),0)=parameters!$B$9,businessmodel!I$17*(1+parameters!$B$12)^rekensheets!$B23,0)</f>
        <v>-47.902585221519509</v>
      </c>
      <c r="K23" s="82">
        <f>IF(parameters!$B$4="corporatie",-businessmodel!J$16*(1+parameters!$B$11)^rekensheets!$B23,0)-IF(ROUNDDOWN(MOD($B23,parameters!$B$10),0)=parameters!$B$9,businessmodel!J$17*(1+parameters!$B$12)^rekensheets!$B23,0)</f>
        <v>-67.063619310127322</v>
      </c>
      <c r="L23" s="82">
        <f>IF(parameters!$B$4="corporatie",-businessmodel!K$16*(1+parameters!$B$11)^rekensheets!$B23,0)-IF(ROUNDDOWN(MOD($B23,parameters!$B$10),0)=parameters!$B$9,businessmodel!K$17*(1+parameters!$B$12)^rekensheets!$B23,0)</f>
        <v>-22.993240906329365</v>
      </c>
      <c r="M23" s="82">
        <f>IF(parameters!$B$4="corporatie",-businessmodel!L$16*(1+parameters!$B$11)^rekensheets!$B23,0)-IF(ROUNDDOWN(MOD($B23,parameters!$B$10),0)=parameters!$B$9,businessmodel!L$17*(1+parameters!$B$12)^rekensheets!$B23,0)</f>
        <v>-19.161034088607806</v>
      </c>
      <c r="N23" s="82">
        <f>IF(parameters!$B$4="corporatie",-businessmodel!M$16*(1+parameters!$B$11)^rekensheets!$B23,0)-IF(ROUNDDOWN(MOD($B23,parameters!$B$10),0)=parameters!$B$9,businessmodel!M$17*(1+parameters!$B$12)^rekensheets!$B23,0)</f>
        <v>-84.308549989874336</v>
      </c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</row>
    <row r="24" spans="1:44" ht="13.8">
      <c r="B24" s="99">
        <f t="shared" si="0"/>
        <v>23</v>
      </c>
      <c r="C24" s="82">
        <f>IF(parameters!$B$4="corporatie",-businessmodel!B$16*(1+parameters!$B$11)^rekensheets!$B24,0)-IF(ROUNDDOWN(MOD($B24,parameters!$B$10),0)=parameters!$B$9,businessmodel!B$17*(1+parameters!$B$12)^rekensheets!$B24,0)</f>
        <v>-106.57367160083662</v>
      </c>
      <c r="D24" s="82">
        <f>IF(parameters!$B$4="corporatie",-businessmodel!C$16*(1+parameters!$B$11)^rekensheets!$B24,0)-IF(ROUNDDOWN(MOD($B24,parameters!$B$10),0)=parameters!$B$9,businessmodel!C$17*(1+parameters!$B$12)^rekensheets!$B24,0)</f>
        <v>-37.498143711405476</v>
      </c>
      <c r="E24" s="82">
        <f>IF(parameters!$B$4="corporatie",-businessmodel!D$16*(1+parameters!$B$11)^rekensheets!$B24,0)-IF(ROUNDDOWN(MOD($B24,parameters!$B$10),0)=parameters!$B$9,businessmodel!D$17*(1+parameters!$B$12)^rekensheets!$B24,0)</f>
        <v>-25.656624644645852</v>
      </c>
      <c r="F24" s="82">
        <f>IF(parameters!$B$4="corporatie",-businessmodel!E$16*(1+parameters!$B$11)^rekensheets!$B24,0)-IF(ROUNDDOWN(MOD($B24,parameters!$B$10),0)=parameters!$B$9,businessmodel!E$17*(1+parameters!$B$12)^rekensheets!$B24,0)</f>
        <v>-65.128354867177933</v>
      </c>
      <c r="G24" s="82">
        <f>IF(parameters!$B$4="corporatie",-businessmodel!F$16*(1+parameters!$B$11)^rekensheets!$B24,0)-IF(ROUNDDOWN(MOD($B24,parameters!$B$10),0)=parameters!$B$9,businessmodel!F$17*(1+parameters!$B$12)^rekensheets!$B24,0)</f>
        <v>-124.33595020097606</v>
      </c>
      <c r="H24" s="82">
        <f>IF(parameters!$B$4="corporatie",-businessmodel!G$16*(1+parameters!$B$11)^rekensheets!$B24,0)-IF(ROUNDDOWN(MOD($B24,parameters!$B$10),0)=parameters!$B$9,businessmodel!G$17*(1+parameters!$B$12)^rekensheets!$B24,0)</f>
        <v>-39.471730222532081</v>
      </c>
      <c r="I24" s="82">
        <f>IF(parameters!$B$4="corporatie",-businessmodel!H$16*(1+parameters!$B$11)^rekensheets!$B24,0)-IF(ROUNDDOWN(MOD($B24,parameters!$B$10),0)=parameters!$B$9,businessmodel!H$17*(1+parameters!$B$12)^rekensheets!$B24,0)</f>
        <v>-43.418903244785291</v>
      </c>
      <c r="J24" s="82">
        <f>IF(parameters!$B$4="corporatie",-businessmodel!I$16*(1+parameters!$B$11)^rekensheets!$B24,0)-IF(ROUNDDOWN(MOD($B24,parameters!$B$10),0)=parameters!$B$9,businessmodel!I$17*(1+parameters!$B$12)^rekensheets!$B24,0)</f>
        <v>-49.339662778165099</v>
      </c>
      <c r="K24" s="82">
        <f>IF(parameters!$B$4="corporatie",-businessmodel!J$16*(1+parameters!$B$11)^rekensheets!$B24,0)-IF(ROUNDDOWN(MOD($B24,parameters!$B$10),0)=parameters!$B$9,businessmodel!J$17*(1+parameters!$B$12)^rekensheets!$B24,0)</f>
        <v>-69.075527889431143</v>
      </c>
      <c r="L24" s="82">
        <f>IF(parameters!$B$4="corporatie",-businessmodel!K$16*(1+parameters!$B$11)^rekensheets!$B24,0)-IF(ROUNDDOWN(MOD($B24,parameters!$B$10),0)=parameters!$B$9,businessmodel!K$17*(1+parameters!$B$12)^rekensheets!$B24,0)</f>
        <v>-23.683038133519247</v>
      </c>
      <c r="M24" s="82">
        <f>IF(parameters!$B$4="corporatie",-businessmodel!L$16*(1+parameters!$B$11)^rekensheets!$B24,0)-IF(ROUNDDOWN(MOD($B24,parameters!$B$10),0)=parameters!$B$9,businessmodel!L$17*(1+parameters!$B$12)^rekensheets!$B24,0)</f>
        <v>-19.73586511126604</v>
      </c>
      <c r="N24" s="82">
        <f>IF(parameters!$B$4="corporatie",-businessmodel!M$16*(1+parameters!$B$11)^rekensheets!$B24,0)-IF(ROUNDDOWN(MOD($B24,parameters!$B$10),0)=parameters!$B$9,businessmodel!M$17*(1+parameters!$B$12)^rekensheets!$B24,0)</f>
        <v>-86.837806489570582</v>
      </c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</row>
    <row r="25" spans="1:44" ht="13.8">
      <c r="B25" s="99">
        <f t="shared" si="0"/>
        <v>24</v>
      </c>
      <c r="C25" s="82">
        <f>IF(parameters!$B$4="corporatie",-businessmodel!B$16*(1+parameters!$B$11)^rekensheets!$B25,0)-IF(ROUNDDOWN(MOD($B25,parameters!$B$10),0)=parameters!$B$9,businessmodel!B$17*(1+parameters!$B$12)^rekensheets!$B25,0)</f>
        <v>-109.7708817488617</v>
      </c>
      <c r="D25" s="82">
        <f>IF(parameters!$B$4="corporatie",-businessmodel!C$16*(1+parameters!$B$11)^rekensheets!$B25,0)-IF(ROUNDDOWN(MOD($B25,parameters!$B$10),0)=parameters!$B$9,businessmodel!C$17*(1+parameters!$B$12)^rekensheets!$B25,0)</f>
        <v>-38.623088022747638</v>
      </c>
      <c r="E25" s="82">
        <f>IF(parameters!$B$4="corporatie",-businessmodel!D$16*(1+parameters!$B$11)^rekensheets!$B25,0)-IF(ROUNDDOWN(MOD($B25,parameters!$B$10),0)=parameters!$B$9,businessmodel!D$17*(1+parameters!$B$12)^rekensheets!$B25,0)</f>
        <v>-26.426323383985224</v>
      </c>
      <c r="F25" s="82">
        <f>IF(parameters!$B$4="corporatie",-businessmodel!E$16*(1+parameters!$B$11)^rekensheets!$B25,0)-IF(ROUNDDOWN(MOD($B25,parameters!$B$10),0)=parameters!$B$9,businessmodel!E$17*(1+parameters!$B$12)^rekensheets!$B25,0)</f>
        <v>-67.082205513193259</v>
      </c>
      <c r="G25" s="82">
        <f>IF(parameters!$B$4="corporatie",-businessmodel!F$16*(1+parameters!$B$11)^rekensheets!$B25,0)-IF(ROUNDDOWN(MOD($B25,parameters!$B$10),0)=parameters!$B$9,businessmodel!F$17*(1+parameters!$B$12)^rekensheets!$B25,0)</f>
        <v>-128.0660287070053</v>
      </c>
      <c r="H25" s="82">
        <f>IF(parameters!$B$4="corporatie",-businessmodel!G$16*(1+parameters!$B$11)^rekensheets!$B25,0)-IF(ROUNDDOWN(MOD($B25,parameters!$B$10),0)=parameters!$B$9,businessmodel!G$17*(1+parameters!$B$12)^rekensheets!$B25,0)</f>
        <v>-40.655882129208038</v>
      </c>
      <c r="I25" s="82">
        <f>IF(parameters!$B$4="corporatie",-businessmodel!H$16*(1+parameters!$B$11)^rekensheets!$B25,0)-IF(ROUNDDOWN(MOD($B25,parameters!$B$10),0)=parameters!$B$9,businessmodel!H$17*(1+parameters!$B$12)^rekensheets!$B25,0)</f>
        <v>-44.721470342128839</v>
      </c>
      <c r="J25" s="82">
        <f>IF(parameters!$B$4="corporatie",-businessmodel!I$16*(1+parameters!$B$11)^rekensheets!$B25,0)-IF(ROUNDDOWN(MOD($B25,parameters!$B$10),0)=parameters!$B$9,businessmodel!I$17*(1+parameters!$B$12)^rekensheets!$B25,0)</f>
        <v>-50.819852661510048</v>
      </c>
      <c r="K25" s="82">
        <f>IF(parameters!$B$4="corporatie",-businessmodel!J$16*(1+parameters!$B$11)^rekensheets!$B25,0)-IF(ROUNDDOWN(MOD($B25,parameters!$B$10),0)=parameters!$B$9,businessmodel!J$17*(1+parameters!$B$12)^rekensheets!$B25,0)</f>
        <v>-71.14779372611406</v>
      </c>
      <c r="L25" s="82">
        <f>IF(parameters!$B$4="corporatie",-businessmodel!K$16*(1+parameters!$B$11)^rekensheets!$B25,0)-IF(ROUNDDOWN(MOD($B25,parameters!$B$10),0)=parameters!$B$9,businessmodel!K$17*(1+parameters!$B$12)^rekensheets!$B25,0)</f>
        <v>-24.39352927752482</v>
      </c>
      <c r="M25" s="82">
        <f>IF(parameters!$B$4="corporatie",-businessmodel!L$16*(1+parameters!$B$11)^rekensheets!$B25,0)-IF(ROUNDDOWN(MOD($B25,parameters!$B$10),0)=parameters!$B$9,businessmodel!L$17*(1+parameters!$B$12)^rekensheets!$B25,0)</f>
        <v>-20.327941064604019</v>
      </c>
      <c r="N25" s="82">
        <f>IF(parameters!$B$4="corporatie",-businessmodel!M$16*(1+parameters!$B$11)^rekensheets!$B25,0)-IF(ROUNDDOWN(MOD($B25,parameters!$B$10),0)=parameters!$B$9,businessmodel!M$17*(1+parameters!$B$12)^rekensheets!$B25,0)</f>
        <v>-89.442940684257678</v>
      </c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</row>
    <row r="26" spans="1:44" ht="13.8">
      <c r="B26" s="99">
        <f t="shared" si="0"/>
        <v>25</v>
      </c>
      <c r="C26" s="82">
        <f>IF(parameters!$B$4="corporatie",-businessmodel!B$16*(1+parameters!$B$11)^rekensheets!$B26,0)-IF(ROUNDDOWN(MOD($B26,parameters!$B$10),0)=parameters!$B$9,businessmodel!B$17*(1+parameters!$B$12)^rekensheets!$B26,0)</f>
        <v>-280.56624257366468</v>
      </c>
      <c r="D26" s="82">
        <f>IF(parameters!$B$4="corporatie",-businessmodel!C$16*(1+parameters!$B$11)^rekensheets!$B26,0)-IF(ROUNDDOWN(MOD($B26,parameters!$B$10),0)=parameters!$B$9,businessmodel!C$17*(1+parameters!$B$12)^rekensheets!$B26,0)</f>
        <v>-772.60405604240486</v>
      </c>
      <c r="E26" s="82">
        <f>IF(parameters!$B$4="corporatie",-businessmodel!D$16*(1+parameters!$B$11)^rekensheets!$B26,0)-IF(ROUNDDOWN(MOD($B26,parameters!$B$10),0)=parameters!$B$9,businessmodel!D$17*(1+parameters!$B$12)^rekensheets!$B26,0)</f>
        <v>-236.59690605092615</v>
      </c>
      <c r="F26" s="82">
        <f>IF(parameters!$B$4="corporatie",-businessmodel!E$16*(1+parameters!$B$11)^rekensheets!$B26,0)-IF(ROUNDDOWN(MOD($B26,parameters!$B$10),0)=parameters!$B$9,businessmodel!E$17*(1+parameters!$B$12)^rekensheets!$B26,0)</f>
        <v>-278.47246464401042</v>
      </c>
      <c r="G26" s="82">
        <f>IF(parameters!$B$4="corporatie",-businessmodel!F$16*(1+parameters!$B$11)^rekensheets!$B26,0)-IF(ROUNDDOWN(MOD($B26,parameters!$B$10),0)=parameters!$B$9,businessmodel!F$17*(1+parameters!$B$12)^rekensheets!$B26,0)</f>
        <v>-341.28580253363685</v>
      </c>
      <c r="H26" s="82">
        <f>IF(parameters!$B$4="corporatie",-businessmodel!G$16*(1+parameters!$B$11)^rekensheets!$B26,0)-IF(ROUNDDOWN(MOD($B26,parameters!$B$10),0)=parameters!$B$9,businessmodel!G$17*(1+parameters!$B$12)^rekensheets!$B26,0)</f>
        <v>-167.50223437233711</v>
      </c>
      <c r="I26" s="82">
        <f>IF(parameters!$B$4="corporatie",-businessmodel!H$16*(1+parameters!$B$11)^rekensheets!$B26,0)-IF(ROUNDDOWN(MOD($B26,parameters!$B$10),0)=parameters!$B$9,businessmodel!H$17*(1+parameters!$B$12)^rekensheets!$B26,0)</f>
        <v>-150.75201093510339</v>
      </c>
      <c r="J26" s="82">
        <f>IF(parameters!$B$4="corporatie",-businessmodel!I$16*(1+parameters!$B$11)^rekensheets!$B26,0)-IF(ROUNDDOWN(MOD($B26,parameters!$B$10),0)=parameters!$B$9,businessmodel!I$17*(1+parameters!$B$12)^rekensheets!$B26,0)</f>
        <v>-157.03334472406604</v>
      </c>
      <c r="K26" s="82">
        <f>IF(parameters!$B$4="corporatie",-businessmodel!J$16*(1+parameters!$B$11)^rekensheets!$B26,0)-IF(ROUNDDOWN(MOD($B26,parameters!$B$10),0)=parameters!$B$9,businessmodel!J$17*(1+parameters!$B$12)^rekensheets!$B26,0)</f>
        <v>-198.9089033171503</v>
      </c>
      <c r="L26" s="82">
        <f>IF(parameters!$B$4="corporatie",-businessmodel!K$16*(1+parameters!$B$11)^rekensheets!$B26,0)-IF(ROUNDDOWN(MOD($B26,parameters!$B$10),0)=parameters!$B$9,businessmodel!K$17*(1+parameters!$B$12)^rekensheets!$B26,0)</f>
        <v>-150.75201093510339</v>
      </c>
      <c r="M26" s="82">
        <f>IF(parameters!$B$4="corporatie",-businessmodel!L$16*(1+parameters!$B$11)^rekensheets!$B26,0)-IF(ROUNDDOWN(MOD($B26,parameters!$B$10),0)=parameters!$B$9,businessmodel!L$17*(1+parameters!$B$12)^rekensheets!$B26,0)</f>
        <v>-125.62667577925282</v>
      </c>
      <c r="N26" s="82">
        <f>IF(parameters!$B$4="corporatie",-businessmodel!M$16*(1+parameters!$B$11)^rekensheets!$B26,0)-IF(ROUNDDOWN(MOD($B26,parameters!$B$10),0)=parameters!$B$9,businessmodel!M$17*(1+parameters!$B$12)^rekensheets!$B26,0)</f>
        <v>-406.1929183529175</v>
      </c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</row>
    <row r="27" spans="1:44" ht="13.8">
      <c r="B27" s="99">
        <f t="shared" si="0"/>
        <v>26</v>
      </c>
      <c r="C27" s="82">
        <f>IF(parameters!$B$4="corporatie",-businessmodel!B$16*(1+parameters!$B$11)^rekensheets!$B27,0)-IF(ROUNDDOWN(MOD($B27,parameters!$B$10),0)=parameters!$B$9,businessmodel!B$17*(1+parameters!$B$12)^rekensheets!$B27,0)</f>
        <v>-116.45592844736738</v>
      </c>
      <c r="D27" s="82">
        <f>IF(parameters!$B$4="corporatie",-businessmodel!C$16*(1+parameters!$B$11)^rekensheets!$B27,0)-IF(ROUNDDOWN(MOD($B27,parameters!$B$10),0)=parameters!$B$9,businessmodel!C$17*(1+parameters!$B$12)^rekensheets!$B27,0)</f>
        <v>-40.975234083332971</v>
      </c>
      <c r="E27" s="82">
        <f>IF(parameters!$B$4="corporatie",-businessmodel!D$16*(1+parameters!$B$11)^rekensheets!$B27,0)-IF(ROUNDDOWN(MOD($B27,parameters!$B$10),0)=parameters!$B$9,businessmodel!D$17*(1+parameters!$B$12)^rekensheets!$B27,0)</f>
        <v>-28.035686478069927</v>
      </c>
      <c r="F27" s="82">
        <f>IF(parameters!$B$4="corporatie",-businessmodel!E$16*(1+parameters!$B$11)^rekensheets!$B27,0)-IF(ROUNDDOWN(MOD($B27,parameters!$B$10),0)=parameters!$B$9,businessmodel!E$17*(1+parameters!$B$12)^rekensheets!$B27,0)</f>
        <v>-71.167511828946743</v>
      </c>
      <c r="G27" s="82">
        <f>IF(parameters!$B$4="corporatie",-businessmodel!F$16*(1+parameters!$B$11)^rekensheets!$B27,0)-IF(ROUNDDOWN(MOD($B27,parameters!$B$10),0)=parameters!$B$9,businessmodel!F$17*(1+parameters!$B$12)^rekensheets!$B27,0)</f>
        <v>-135.86524985526196</v>
      </c>
      <c r="H27" s="82">
        <f>IF(parameters!$B$4="corporatie",-businessmodel!G$16*(1+parameters!$B$11)^rekensheets!$B27,0)-IF(ROUNDDOWN(MOD($B27,parameters!$B$10),0)=parameters!$B$9,businessmodel!G$17*(1+parameters!$B$12)^rekensheets!$B27,0)</f>
        <v>-43.131825350876809</v>
      </c>
      <c r="I27" s="82">
        <f>IF(parameters!$B$4="corporatie",-businessmodel!H$16*(1+parameters!$B$11)^rekensheets!$B27,0)-IF(ROUNDDOWN(MOD($B27,parameters!$B$10),0)=parameters!$B$9,businessmodel!H$17*(1+parameters!$B$12)^rekensheets!$B27,0)</f>
        <v>-47.445007885964493</v>
      </c>
      <c r="J27" s="82">
        <f>IF(parameters!$B$4="corporatie",-businessmodel!I$16*(1+parameters!$B$11)^rekensheets!$B27,0)-IF(ROUNDDOWN(MOD($B27,parameters!$B$10),0)=parameters!$B$9,businessmodel!I$17*(1+parameters!$B$12)^rekensheets!$B27,0)</f>
        <v>-53.914781688596015</v>
      </c>
      <c r="K27" s="82">
        <f>IF(parameters!$B$4="corporatie",-businessmodel!J$16*(1+parameters!$B$11)^rekensheets!$B27,0)-IF(ROUNDDOWN(MOD($B27,parameters!$B$10),0)=parameters!$B$9,businessmodel!J$17*(1+parameters!$B$12)^rekensheets!$B27,0)</f>
        <v>-75.48069436403442</v>
      </c>
      <c r="L27" s="82">
        <f>IF(parameters!$B$4="corporatie",-businessmodel!K$16*(1+parameters!$B$11)^rekensheets!$B27,0)-IF(ROUNDDOWN(MOD($B27,parameters!$B$10),0)=parameters!$B$9,businessmodel!K$17*(1+parameters!$B$12)^rekensheets!$B27,0)</f>
        <v>-25.879095210526089</v>
      </c>
      <c r="M27" s="82">
        <f>IF(parameters!$B$4="corporatie",-businessmodel!L$16*(1+parameters!$B$11)^rekensheets!$B27,0)-IF(ROUNDDOWN(MOD($B27,parameters!$B$10),0)=parameters!$B$9,businessmodel!L$17*(1+parameters!$B$12)^rekensheets!$B27,0)</f>
        <v>-21.565912675438405</v>
      </c>
      <c r="N27" s="82">
        <f>IF(parameters!$B$4="corporatie",-businessmodel!M$16*(1+parameters!$B$11)^rekensheets!$B27,0)-IF(ROUNDDOWN(MOD($B27,parameters!$B$10),0)=parameters!$B$9,businessmodel!M$17*(1+parameters!$B$12)^rekensheets!$B27,0)</f>
        <v>-94.890015771928987</v>
      </c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</row>
    <row r="28" spans="1:44" ht="13.8">
      <c r="B28" s="99">
        <f t="shared" si="0"/>
        <v>27</v>
      </c>
      <c r="C28" s="82">
        <f>IF(parameters!$B$4="corporatie",-businessmodel!B$16*(1+parameters!$B$11)^rekensheets!$B28,0)-IF(ROUNDDOWN(MOD($B28,parameters!$B$10),0)=parameters!$B$9,businessmodel!B$17*(1+parameters!$B$12)^rekensheets!$B28,0)</f>
        <v>-119.9496063007884</v>
      </c>
      <c r="D28" s="82">
        <f>IF(parameters!$B$4="corporatie",-businessmodel!C$16*(1+parameters!$B$11)^rekensheets!$B28,0)-IF(ROUNDDOWN(MOD($B28,parameters!$B$10),0)=parameters!$B$9,businessmodel!C$17*(1+parameters!$B$12)^rekensheets!$B28,0)</f>
        <v>-42.204491105832957</v>
      </c>
      <c r="E28" s="82">
        <f>IF(parameters!$B$4="corporatie",-businessmodel!D$16*(1+parameters!$B$11)^rekensheets!$B28,0)-IF(ROUNDDOWN(MOD($B28,parameters!$B$10),0)=parameters!$B$9,businessmodel!D$17*(1+parameters!$B$12)^rekensheets!$B28,0)</f>
        <v>-28.876757072412023</v>
      </c>
      <c r="F28" s="82">
        <f>IF(parameters!$B$4="corporatie",-businessmodel!E$16*(1+parameters!$B$11)^rekensheets!$B28,0)-IF(ROUNDDOWN(MOD($B28,parameters!$B$10),0)=parameters!$B$9,businessmodel!E$17*(1+parameters!$B$12)^rekensheets!$B28,0)</f>
        <v>-73.302537183815133</v>
      </c>
      <c r="G28" s="82">
        <f>IF(parameters!$B$4="corporatie",-businessmodel!F$16*(1+parameters!$B$11)^rekensheets!$B28,0)-IF(ROUNDDOWN(MOD($B28,parameters!$B$10),0)=parameters!$B$9,businessmodel!F$17*(1+parameters!$B$12)^rekensheets!$B28,0)</f>
        <v>-139.9412073509198</v>
      </c>
      <c r="H28" s="82">
        <f>IF(parameters!$B$4="corporatie",-businessmodel!G$16*(1+parameters!$B$11)^rekensheets!$B28,0)-IF(ROUNDDOWN(MOD($B28,parameters!$B$10),0)=parameters!$B$9,businessmodel!G$17*(1+parameters!$B$12)^rekensheets!$B28,0)</f>
        <v>-44.425780111403114</v>
      </c>
      <c r="I28" s="82">
        <f>IF(parameters!$B$4="corporatie",-businessmodel!H$16*(1+parameters!$B$11)^rekensheets!$B28,0)-IF(ROUNDDOWN(MOD($B28,parameters!$B$10),0)=parameters!$B$9,businessmodel!H$17*(1+parameters!$B$12)^rekensheets!$B28,0)</f>
        <v>-48.86835812254342</v>
      </c>
      <c r="J28" s="82">
        <f>IF(parameters!$B$4="corporatie",-businessmodel!I$16*(1+parameters!$B$11)^rekensheets!$B28,0)-IF(ROUNDDOWN(MOD($B28,parameters!$B$10),0)=parameters!$B$9,businessmodel!I$17*(1+parameters!$B$12)^rekensheets!$B28,0)</f>
        <v>-55.532225139253889</v>
      </c>
      <c r="K28" s="82">
        <f>IF(parameters!$B$4="corporatie",-businessmodel!J$16*(1+parameters!$B$11)^rekensheets!$B28,0)-IF(ROUNDDOWN(MOD($B28,parameters!$B$10),0)=parameters!$B$9,businessmodel!J$17*(1+parameters!$B$12)^rekensheets!$B28,0)</f>
        <v>-77.745115194955446</v>
      </c>
      <c r="L28" s="82">
        <f>IF(parameters!$B$4="corporatie",-businessmodel!K$16*(1+parameters!$B$11)^rekensheets!$B28,0)-IF(ROUNDDOWN(MOD($B28,parameters!$B$10),0)=parameters!$B$9,businessmodel!K$17*(1+parameters!$B$12)^rekensheets!$B28,0)</f>
        <v>-26.655468066841866</v>
      </c>
      <c r="M28" s="82">
        <f>IF(parameters!$B$4="corporatie",-businessmodel!L$16*(1+parameters!$B$11)^rekensheets!$B28,0)-IF(ROUNDDOWN(MOD($B28,parameters!$B$10),0)=parameters!$B$9,businessmodel!L$17*(1+parameters!$B$12)^rekensheets!$B28,0)</f>
        <v>-22.212890055701557</v>
      </c>
      <c r="N28" s="82">
        <f>IF(parameters!$B$4="corporatie",-businessmodel!M$16*(1+parameters!$B$11)^rekensheets!$B28,0)-IF(ROUNDDOWN(MOD($B28,parameters!$B$10),0)=parameters!$B$9,businessmodel!M$17*(1+parameters!$B$12)^rekensheets!$B28,0)</f>
        <v>-97.736716245086839</v>
      </c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</row>
    <row r="29" spans="1:44" ht="13.8">
      <c r="B29" s="99">
        <f t="shared" si="0"/>
        <v>28</v>
      </c>
      <c r="C29" s="82">
        <f>IF(parameters!$B$4="corporatie",-businessmodel!B$16*(1+parameters!$B$11)^rekensheets!$B29,0)-IF(ROUNDDOWN(MOD($B29,parameters!$B$10),0)=parameters!$B$9,businessmodel!B$17*(1+parameters!$B$12)^rekensheets!$B29,0)</f>
        <v>-123.54809448981204</v>
      </c>
      <c r="D29" s="82">
        <f>IF(parameters!$B$4="corporatie",-businessmodel!C$16*(1+parameters!$B$11)^rekensheets!$B29,0)-IF(ROUNDDOWN(MOD($B29,parameters!$B$10),0)=parameters!$B$9,businessmodel!C$17*(1+parameters!$B$12)^rekensheets!$B29,0)</f>
        <v>-43.470625839007944</v>
      </c>
      <c r="E29" s="82">
        <f>IF(parameters!$B$4="corporatie",-businessmodel!D$16*(1+parameters!$B$11)^rekensheets!$B29,0)-IF(ROUNDDOWN(MOD($B29,parameters!$B$10),0)=parameters!$B$9,businessmodel!D$17*(1+parameters!$B$12)^rekensheets!$B29,0)</f>
        <v>-29.743059784584382</v>
      </c>
      <c r="F29" s="82">
        <f>IF(parameters!$B$4="corporatie",-businessmodel!E$16*(1+parameters!$B$11)^rekensheets!$B29,0)-IF(ROUNDDOWN(MOD($B29,parameters!$B$10),0)=parameters!$B$9,businessmodel!E$17*(1+parameters!$B$12)^rekensheets!$B29,0)</f>
        <v>-75.501613299329591</v>
      </c>
      <c r="G29" s="82">
        <f>IF(parameters!$B$4="corporatie",-businessmodel!F$16*(1+parameters!$B$11)^rekensheets!$B29,0)-IF(ROUNDDOWN(MOD($B29,parameters!$B$10),0)=parameters!$B$9,businessmodel!F$17*(1+parameters!$B$12)^rekensheets!$B29,0)</f>
        <v>-144.1394435714474</v>
      </c>
      <c r="H29" s="82">
        <f>IF(parameters!$B$4="corporatie",-businessmodel!G$16*(1+parameters!$B$11)^rekensheets!$B29,0)-IF(ROUNDDOWN(MOD($B29,parameters!$B$10),0)=parameters!$B$9,businessmodel!G$17*(1+parameters!$B$12)^rekensheets!$B29,0)</f>
        <v>-45.758553514745202</v>
      </c>
      <c r="I29" s="82">
        <f>IF(parameters!$B$4="corporatie",-businessmodel!H$16*(1+parameters!$B$11)^rekensheets!$B29,0)-IF(ROUNDDOWN(MOD($B29,parameters!$B$10),0)=parameters!$B$9,businessmodel!H$17*(1+parameters!$B$12)^rekensheets!$B29,0)</f>
        <v>-50.334408866219725</v>
      </c>
      <c r="J29" s="82">
        <f>IF(parameters!$B$4="corporatie",-businessmodel!I$16*(1+parameters!$B$11)^rekensheets!$B29,0)-IF(ROUNDDOWN(MOD($B29,parameters!$B$10),0)=parameters!$B$9,businessmodel!I$17*(1+parameters!$B$12)^rekensheets!$B29,0)</f>
        <v>-57.198191893431506</v>
      </c>
      <c r="K29" s="82">
        <f>IF(parameters!$B$4="corporatie",-businessmodel!J$16*(1+parameters!$B$11)^rekensheets!$B29,0)-IF(ROUNDDOWN(MOD($B29,parameters!$B$10),0)=parameters!$B$9,businessmodel!J$17*(1+parameters!$B$12)^rekensheets!$B29,0)</f>
        <v>-80.077468650804107</v>
      </c>
      <c r="L29" s="82">
        <f>IF(parameters!$B$4="corporatie",-businessmodel!K$16*(1+parameters!$B$11)^rekensheets!$B29,0)-IF(ROUNDDOWN(MOD($B29,parameters!$B$10),0)=parameters!$B$9,businessmodel!K$17*(1+parameters!$B$12)^rekensheets!$B29,0)</f>
        <v>-27.455132108847124</v>
      </c>
      <c r="M29" s="82">
        <f>IF(parameters!$B$4="corporatie",-businessmodel!L$16*(1+parameters!$B$11)^rekensheets!$B29,0)-IF(ROUNDDOWN(MOD($B29,parameters!$B$10),0)=parameters!$B$9,businessmodel!L$17*(1+parameters!$B$12)^rekensheets!$B29,0)</f>
        <v>-22.879276757372601</v>
      </c>
      <c r="N29" s="82">
        <f>IF(parameters!$B$4="corporatie",-businessmodel!M$16*(1+parameters!$B$11)^rekensheets!$B29,0)-IF(ROUNDDOWN(MOD($B29,parameters!$B$10),0)=parameters!$B$9,businessmodel!M$17*(1+parameters!$B$12)^rekensheets!$B29,0)</f>
        <v>-100.66881773243945</v>
      </c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</row>
    <row r="30" spans="1:44" ht="13.8">
      <c r="B30" s="99">
        <f t="shared" si="0"/>
        <v>29</v>
      </c>
      <c r="C30" s="82">
        <f>IF(parameters!$B$4="corporatie",-businessmodel!B$16*(1+parameters!$B$11)^rekensheets!$B30,0)-IF(ROUNDDOWN(MOD($B30,parameters!$B$10),0)=parameters!$B$9,businessmodel!B$17*(1+parameters!$B$12)^rekensheets!$B30,0)</f>
        <v>-127.2545373245064</v>
      </c>
      <c r="D30" s="82">
        <f>IF(parameters!$B$4="corporatie",-businessmodel!C$16*(1+parameters!$B$11)^rekensheets!$B30,0)-IF(ROUNDDOWN(MOD($B30,parameters!$B$10),0)=parameters!$B$9,businessmodel!C$17*(1+parameters!$B$12)^rekensheets!$B30,0)</f>
        <v>-44.774744614178175</v>
      </c>
      <c r="E30" s="82">
        <f>IF(parameters!$B$4="corporatie",-businessmodel!D$16*(1+parameters!$B$11)^rekensheets!$B30,0)-IF(ROUNDDOWN(MOD($B30,parameters!$B$10),0)=parameters!$B$9,businessmodel!D$17*(1+parameters!$B$12)^rekensheets!$B30,0)</f>
        <v>-30.635351578121909</v>
      </c>
      <c r="F30" s="82">
        <f>IF(parameters!$B$4="corporatie",-businessmodel!E$16*(1+parameters!$B$11)^rekensheets!$B30,0)-IF(ROUNDDOWN(MOD($B30,parameters!$B$10),0)=parameters!$B$9,businessmodel!E$17*(1+parameters!$B$12)^rekensheets!$B30,0)</f>
        <v>-77.766661698309463</v>
      </c>
      <c r="G30" s="82">
        <f>IF(parameters!$B$4="corporatie",-businessmodel!F$16*(1+parameters!$B$11)^rekensheets!$B30,0)-IF(ROUNDDOWN(MOD($B30,parameters!$B$10),0)=parameters!$B$9,businessmodel!F$17*(1+parameters!$B$12)^rekensheets!$B30,0)</f>
        <v>-148.46362687859079</v>
      </c>
      <c r="H30" s="82">
        <f>IF(parameters!$B$4="corporatie",-businessmodel!G$16*(1+parameters!$B$11)^rekensheets!$B30,0)-IF(ROUNDDOWN(MOD($B30,parameters!$B$10),0)=parameters!$B$9,businessmodel!G$17*(1+parameters!$B$12)^rekensheets!$B30,0)</f>
        <v>-47.131310120187557</v>
      </c>
      <c r="I30" s="82">
        <f>IF(parameters!$B$4="corporatie",-businessmodel!H$16*(1+parameters!$B$11)^rekensheets!$B30,0)-IF(ROUNDDOWN(MOD($B30,parameters!$B$10),0)=parameters!$B$9,businessmodel!H$17*(1+parameters!$B$12)^rekensheets!$B30,0)</f>
        <v>-51.844441132206313</v>
      </c>
      <c r="J30" s="82">
        <f>IF(parameters!$B$4="corporatie",-businessmodel!I$16*(1+parameters!$B$11)^rekensheets!$B30,0)-IF(ROUNDDOWN(MOD($B30,parameters!$B$10),0)=parameters!$B$9,businessmodel!I$17*(1+parameters!$B$12)^rekensheets!$B30,0)</f>
        <v>-58.914137650234444</v>
      </c>
      <c r="K30" s="82">
        <f>IF(parameters!$B$4="corporatie",-businessmodel!J$16*(1+parameters!$B$11)^rekensheets!$B30,0)-IF(ROUNDDOWN(MOD($B30,parameters!$B$10),0)=parameters!$B$9,businessmodel!J$17*(1+parameters!$B$12)^rekensheets!$B30,0)</f>
        <v>-82.479792710328226</v>
      </c>
      <c r="L30" s="82">
        <f>IF(parameters!$B$4="corporatie",-businessmodel!K$16*(1+parameters!$B$11)^rekensheets!$B30,0)-IF(ROUNDDOWN(MOD($B30,parameters!$B$10),0)=parameters!$B$9,businessmodel!K$17*(1+parameters!$B$12)^rekensheets!$B30,0)</f>
        <v>-28.278786072112531</v>
      </c>
      <c r="M30" s="82">
        <f>IF(parameters!$B$4="corporatie",-businessmodel!L$16*(1+parameters!$B$11)^rekensheets!$B30,0)-IF(ROUNDDOWN(MOD($B30,parameters!$B$10),0)=parameters!$B$9,businessmodel!L$17*(1+parameters!$B$12)^rekensheets!$B30,0)</f>
        <v>-23.565655060093778</v>
      </c>
      <c r="N30" s="82">
        <f>IF(parameters!$B$4="corporatie",-businessmodel!M$16*(1+parameters!$B$11)^rekensheets!$B30,0)-IF(ROUNDDOWN(MOD($B30,parameters!$B$10),0)=parameters!$B$9,businessmodel!M$17*(1+parameters!$B$12)^rekensheets!$B30,0)</f>
        <v>-103.68888226441263</v>
      </c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</row>
    <row r="31" spans="1:44" ht="13.8">
      <c r="A31" s="84"/>
      <c r="B31" s="99">
        <f t="shared" si="0"/>
        <v>30</v>
      </c>
      <c r="C31" s="82">
        <f>IF(parameters!$B$4="corporatie",-businessmodel!B$16*(1+parameters!$B$11)^rekensheets!$B31,0)-IF(ROUNDDOWN(MOD($B31,parameters!$B$10),0)=parameters!$B$9,businessmodel!B$17*(1+parameters!$B$12)^rekensheets!$B31,0)</f>
        <v>-131.0721734442416</v>
      </c>
      <c r="D31" s="82">
        <f>IF(parameters!$B$4="corporatie",-businessmodel!C$16*(1+parameters!$B$11)^rekensheets!$B31,0)-IF(ROUNDDOWN(MOD($B31,parameters!$B$10),0)=parameters!$B$9,businessmodel!C$17*(1+parameters!$B$12)^rekensheets!$B31,0)</f>
        <v>-46.117986952603523</v>
      </c>
      <c r="E31" s="82">
        <f>IF(parameters!$B$4="corporatie",-businessmodel!D$16*(1+parameters!$B$11)^rekensheets!$B31,0)-IF(ROUNDDOWN(MOD($B31,parameters!$B$10),0)=parameters!$B$9,businessmodel!D$17*(1+parameters!$B$12)^rekensheets!$B31,0)</f>
        <v>-31.554412125465568</v>
      </c>
      <c r="F31" s="82">
        <f>IF(parameters!$B$4="corporatie",-businessmodel!E$16*(1+parameters!$B$11)^rekensheets!$B31,0)-IF(ROUNDDOWN(MOD($B31,parameters!$B$10),0)=parameters!$B$9,businessmodel!E$17*(1+parameters!$B$12)^rekensheets!$B31,0)</f>
        <v>-80.099661549258755</v>
      </c>
      <c r="G31" s="82">
        <f>IF(parameters!$B$4="corporatie",-businessmodel!F$16*(1+parameters!$B$11)^rekensheets!$B31,0)-IF(ROUNDDOWN(MOD($B31,parameters!$B$10),0)=parameters!$B$9,businessmodel!F$17*(1+parameters!$B$12)^rekensheets!$B31,0)</f>
        <v>-152.91753568494852</v>
      </c>
      <c r="H31" s="82">
        <f>IF(parameters!$B$4="corporatie",-businessmodel!G$16*(1+parameters!$B$11)^rekensheets!$B31,0)-IF(ROUNDDOWN(MOD($B31,parameters!$B$10),0)=parameters!$B$9,businessmodel!G$17*(1+parameters!$B$12)^rekensheets!$B31,0)</f>
        <v>-48.54524942379318</v>
      </c>
      <c r="I31" s="82">
        <f>IF(parameters!$B$4="corporatie",-businessmodel!H$16*(1+parameters!$B$11)^rekensheets!$B31,0)-IF(ROUNDDOWN(MOD($B31,parameters!$B$10),0)=parameters!$B$9,businessmodel!H$17*(1+parameters!$B$12)^rekensheets!$B31,0)</f>
        <v>-53.399774366172501</v>
      </c>
      <c r="J31" s="82">
        <f>IF(parameters!$B$4="corporatie",-businessmodel!I$16*(1+parameters!$B$11)^rekensheets!$B31,0)-IF(ROUNDDOWN(MOD($B31,parameters!$B$10),0)=parameters!$B$9,businessmodel!I$17*(1+parameters!$B$12)^rekensheets!$B31,0)</f>
        <v>-60.681561779741479</v>
      </c>
      <c r="K31" s="82">
        <f>IF(parameters!$B$4="corporatie",-businessmodel!J$16*(1+parameters!$B$11)^rekensheets!$B31,0)-IF(ROUNDDOWN(MOD($B31,parameters!$B$10),0)=parameters!$B$9,businessmodel!J$17*(1+parameters!$B$12)^rekensheets!$B31,0)</f>
        <v>-84.954186491638069</v>
      </c>
      <c r="L31" s="82">
        <f>IF(parameters!$B$4="corporatie",-businessmodel!K$16*(1+parameters!$B$11)^rekensheets!$B31,0)-IF(ROUNDDOWN(MOD($B31,parameters!$B$10),0)=parameters!$B$9,businessmodel!K$17*(1+parameters!$B$12)^rekensheets!$B31,0)</f>
        <v>-29.127149654275911</v>
      </c>
      <c r="M31" s="82">
        <f>IF(parameters!$B$4="corporatie",-businessmodel!L$16*(1+parameters!$B$11)^rekensheets!$B31,0)-IF(ROUNDDOWN(MOD($B31,parameters!$B$10),0)=parameters!$B$9,businessmodel!L$17*(1+parameters!$B$12)^rekensheets!$B31,0)</f>
        <v>-24.27262471189659</v>
      </c>
      <c r="N31" s="82">
        <f>IF(parameters!$B$4="corporatie",-businessmodel!M$16*(1+parameters!$B$11)^rekensheets!$B31,0)-IF(ROUNDDOWN(MOD($B31,parameters!$B$10),0)=parameters!$B$9,businessmodel!M$17*(1+parameters!$B$12)^rekensheets!$B31,0)</f>
        <v>-106.799548732345</v>
      </c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</row>
    <row r="32" spans="1:44" ht="13.8">
      <c r="A32" s="84"/>
      <c r="B32" s="99">
        <f t="shared" si="0"/>
        <v>31</v>
      </c>
      <c r="C32" s="82">
        <f>IF(parameters!$B$4="corporatie",-businessmodel!B$16*(1+parameters!$B$11)^rekensheets!$B32,0)-IF(ROUNDDOWN(MOD($B32,parameters!$B$10),0)=parameters!$B$9,businessmodel!B$17*(1+parameters!$B$12)^rekensheets!$B32,0)</f>
        <v>-135.00433864756886</v>
      </c>
      <c r="D32" s="82">
        <f>IF(parameters!$B$4="corporatie",-businessmodel!C$16*(1+parameters!$B$11)^rekensheets!$B32,0)-IF(ROUNDDOWN(MOD($B32,parameters!$B$10),0)=parameters!$B$9,businessmodel!C$17*(1+parameters!$B$12)^rekensheets!$B32,0)</f>
        <v>-47.501526561181635</v>
      </c>
      <c r="E32" s="82">
        <f>IF(parameters!$B$4="corporatie",-businessmodel!D$16*(1+parameters!$B$11)^rekensheets!$B32,0)-IF(ROUNDDOWN(MOD($B32,parameters!$B$10),0)=parameters!$B$9,businessmodel!D$17*(1+parameters!$B$12)^rekensheets!$B32,0)</f>
        <v>-32.501044489229542</v>
      </c>
      <c r="F32" s="82">
        <f>IF(parameters!$B$4="corporatie",-businessmodel!E$16*(1+parameters!$B$11)^rekensheets!$B32,0)-IF(ROUNDDOWN(MOD($B32,parameters!$B$10),0)=parameters!$B$9,businessmodel!E$17*(1+parameters!$B$12)^rekensheets!$B32,0)</f>
        <v>-82.502651395736521</v>
      </c>
      <c r="G32" s="82">
        <f>IF(parameters!$B$4="corporatie",-businessmodel!F$16*(1+parameters!$B$11)^rekensheets!$B32,0)-IF(ROUNDDOWN(MOD($B32,parameters!$B$10),0)=parameters!$B$9,businessmodel!F$17*(1+parameters!$B$12)^rekensheets!$B32,0)</f>
        <v>-157.505061755497</v>
      </c>
      <c r="H32" s="82">
        <f>IF(parameters!$B$4="corporatie",-businessmodel!G$16*(1+parameters!$B$11)^rekensheets!$B32,0)-IF(ROUNDDOWN(MOD($B32,parameters!$B$10),0)=parameters!$B$9,businessmodel!G$17*(1+parameters!$B$12)^rekensheets!$B32,0)</f>
        <v>-50.001606906506986</v>
      </c>
      <c r="I32" s="82">
        <f>IF(parameters!$B$4="corporatie",-businessmodel!H$16*(1+parameters!$B$11)^rekensheets!$B32,0)-IF(ROUNDDOWN(MOD($B32,parameters!$B$10),0)=parameters!$B$9,businessmodel!H$17*(1+parameters!$B$12)^rekensheets!$B32,0)</f>
        <v>-55.001767597157681</v>
      </c>
      <c r="J32" s="82">
        <f>IF(parameters!$B$4="corporatie",-businessmodel!I$16*(1+parameters!$B$11)^rekensheets!$B32,0)-IF(ROUNDDOWN(MOD($B32,parameters!$B$10),0)=parameters!$B$9,businessmodel!I$17*(1+parameters!$B$12)^rekensheets!$B32,0)</f>
        <v>-62.502008633133734</v>
      </c>
      <c r="K32" s="82">
        <f>IF(parameters!$B$4="corporatie",-businessmodel!J$16*(1+parameters!$B$11)^rekensheets!$B32,0)-IF(ROUNDDOWN(MOD($B32,parameters!$B$10),0)=parameters!$B$9,businessmodel!J$17*(1+parameters!$B$12)^rekensheets!$B32,0)</f>
        <v>-87.502812086387223</v>
      </c>
      <c r="L32" s="82">
        <f>IF(parameters!$B$4="corporatie",-businessmodel!K$16*(1+parameters!$B$11)^rekensheets!$B32,0)-IF(ROUNDDOWN(MOD($B32,parameters!$B$10),0)=parameters!$B$9,businessmodel!K$17*(1+parameters!$B$12)^rekensheets!$B32,0)</f>
        <v>-30.000964143904191</v>
      </c>
      <c r="M32" s="82">
        <f>IF(parameters!$B$4="corporatie",-businessmodel!L$16*(1+parameters!$B$11)^rekensheets!$B32,0)-IF(ROUNDDOWN(MOD($B32,parameters!$B$10),0)=parameters!$B$9,businessmodel!L$17*(1+parameters!$B$12)^rekensheets!$B32,0)</f>
        <v>-25.000803453253493</v>
      </c>
      <c r="N32" s="82">
        <f>IF(parameters!$B$4="corporatie",-businessmodel!M$16*(1+parameters!$B$11)^rekensheets!$B32,0)-IF(ROUNDDOWN(MOD($B32,parameters!$B$10),0)=parameters!$B$9,businessmodel!M$17*(1+parameters!$B$12)^rekensheets!$B32,0)</f>
        <v>-110.00353519431536</v>
      </c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</row>
    <row r="33" spans="1:44" ht="13.8">
      <c r="A33" s="84"/>
      <c r="B33" s="99">
        <f t="shared" si="0"/>
        <v>32</v>
      </c>
      <c r="C33" s="82">
        <f>IF(parameters!$B$4="corporatie",-businessmodel!B$16*(1+parameters!$B$11)^rekensheets!$B33,0)-IF(ROUNDDOWN(MOD($B33,parameters!$B$10),0)=parameters!$B$9,businessmodel!B$17*(1+parameters!$B$12)^rekensheets!$B33,0)</f>
        <v>-139.05446880699589</v>
      </c>
      <c r="D33" s="82">
        <f>IF(parameters!$B$4="corporatie",-businessmodel!C$16*(1+parameters!$B$11)^rekensheets!$B33,0)-IF(ROUNDDOWN(MOD($B33,parameters!$B$10),0)=parameters!$B$9,businessmodel!C$17*(1+parameters!$B$12)^rekensheets!$B33,0)</f>
        <v>-48.926572358017076</v>
      </c>
      <c r="E33" s="82">
        <f>IF(parameters!$B$4="corporatie",-businessmodel!D$16*(1+parameters!$B$11)^rekensheets!$B33,0)-IF(ROUNDDOWN(MOD($B33,parameters!$B$10),0)=parameters!$B$9,businessmodel!D$17*(1+parameters!$B$12)^rekensheets!$B33,0)</f>
        <v>-33.47607582390642</v>
      </c>
      <c r="F33" s="82">
        <f>IF(parameters!$B$4="corporatie",-businessmodel!E$16*(1+parameters!$B$11)^rekensheets!$B33,0)-IF(ROUNDDOWN(MOD($B33,parameters!$B$10),0)=parameters!$B$9,businessmodel!E$17*(1+parameters!$B$12)^rekensheets!$B33,0)</f>
        <v>-84.977730937608612</v>
      </c>
      <c r="G33" s="82">
        <f>IF(parameters!$B$4="corporatie",-businessmodel!F$16*(1+parameters!$B$11)^rekensheets!$B33,0)-IF(ROUNDDOWN(MOD($B33,parameters!$B$10),0)=parameters!$B$9,businessmodel!F$17*(1+parameters!$B$12)^rekensheets!$B33,0)</f>
        <v>-162.23021360816188</v>
      </c>
      <c r="H33" s="82">
        <f>IF(parameters!$B$4="corporatie",-businessmodel!G$16*(1+parameters!$B$11)^rekensheets!$B33,0)-IF(ROUNDDOWN(MOD($B33,parameters!$B$10),0)=parameters!$B$9,businessmodel!G$17*(1+parameters!$B$12)^rekensheets!$B33,0)</f>
        <v>-51.501655113702185</v>
      </c>
      <c r="I33" s="82">
        <f>IF(parameters!$B$4="corporatie",-businessmodel!H$16*(1+parameters!$B$11)^rekensheets!$B33,0)-IF(ROUNDDOWN(MOD($B33,parameters!$B$10),0)=parameters!$B$9,businessmodel!H$17*(1+parameters!$B$12)^rekensheets!$B33,0)</f>
        <v>-56.651820625072403</v>
      </c>
      <c r="J33" s="82">
        <f>IF(parameters!$B$4="corporatie",-businessmodel!I$16*(1+parameters!$B$11)^rekensheets!$B33,0)-IF(ROUNDDOWN(MOD($B33,parameters!$B$10),0)=parameters!$B$9,businessmodel!I$17*(1+parameters!$B$12)^rekensheets!$B33,0)</f>
        <v>-64.377068892127738</v>
      </c>
      <c r="K33" s="82">
        <f>IF(parameters!$B$4="corporatie",-businessmodel!J$16*(1+parameters!$B$11)^rekensheets!$B33,0)-IF(ROUNDDOWN(MOD($B33,parameters!$B$10),0)=parameters!$B$9,businessmodel!J$17*(1+parameters!$B$12)^rekensheets!$B33,0)</f>
        <v>-90.127896448978817</v>
      </c>
      <c r="L33" s="82">
        <f>IF(parameters!$B$4="corporatie",-businessmodel!K$16*(1+parameters!$B$11)^rekensheets!$B33,0)-IF(ROUNDDOWN(MOD($B33,parameters!$B$10),0)=parameters!$B$9,businessmodel!K$17*(1+parameters!$B$12)^rekensheets!$B33,0)</f>
        <v>-30.900993068221311</v>
      </c>
      <c r="M33" s="82">
        <f>IF(parameters!$B$4="corporatie",-businessmodel!L$16*(1+parameters!$B$11)^rekensheets!$B33,0)-IF(ROUNDDOWN(MOD($B33,parameters!$B$10),0)=parameters!$B$9,businessmodel!L$17*(1+parameters!$B$12)^rekensheets!$B33,0)</f>
        <v>-25.750827556851092</v>
      </c>
      <c r="N33" s="82">
        <f>IF(parameters!$B$4="corporatie",-businessmodel!M$16*(1+parameters!$B$11)^rekensheets!$B33,0)-IF(ROUNDDOWN(MOD($B33,parameters!$B$10),0)=parameters!$B$9,businessmodel!M$17*(1+parameters!$B$12)^rekensheets!$B33,0)</f>
        <v>-113.30364125014481</v>
      </c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</row>
    <row r="34" spans="1:44" ht="13.8">
      <c r="A34" s="84"/>
      <c r="B34" s="99">
        <f t="shared" si="0"/>
        <v>33</v>
      </c>
      <c r="C34" s="82">
        <f>IF(parameters!$B$4="corporatie",-businessmodel!B$16*(1+parameters!$B$11)^rekensheets!$B34,0)-IF(ROUNDDOWN(MOD($B34,parameters!$B$10),0)=parameters!$B$9,businessmodel!B$17*(1+parameters!$B$12)^rekensheets!$B34,0)</f>
        <v>-143.2261028712058</v>
      </c>
      <c r="D34" s="82">
        <f>IF(parameters!$B$4="corporatie",-businessmodel!C$16*(1+parameters!$B$11)^rekensheets!$B34,0)-IF(ROUNDDOWN(MOD($B34,parameters!$B$10),0)=parameters!$B$9,businessmodel!C$17*(1+parameters!$B$12)^rekensheets!$B34,0)</f>
        <v>-50.394369528757593</v>
      </c>
      <c r="E34" s="82">
        <f>IF(parameters!$B$4="corporatie",-businessmodel!D$16*(1+parameters!$B$11)^rekensheets!$B34,0)-IF(ROUNDDOWN(MOD($B34,parameters!$B$10),0)=parameters!$B$9,businessmodel!D$17*(1+parameters!$B$12)^rekensheets!$B34,0)</f>
        <v>-34.480358098623611</v>
      </c>
      <c r="F34" s="82">
        <f>IF(parameters!$B$4="corporatie",-businessmodel!E$16*(1+parameters!$B$11)^rekensheets!$B34,0)-IF(ROUNDDOWN(MOD($B34,parameters!$B$10),0)=parameters!$B$9,businessmodel!E$17*(1+parameters!$B$12)^rekensheets!$B34,0)</f>
        <v>-87.527062865736866</v>
      </c>
      <c r="G34" s="82">
        <f>IF(parameters!$B$4="corporatie",-businessmodel!F$16*(1+parameters!$B$11)^rekensheets!$B34,0)-IF(ROUNDDOWN(MOD($B34,parameters!$B$10),0)=parameters!$B$9,businessmodel!F$17*(1+parameters!$B$12)^rekensheets!$B34,0)</f>
        <v>-167.09712001640673</v>
      </c>
      <c r="H34" s="82">
        <f>IF(parameters!$B$4="corporatie",-businessmodel!G$16*(1+parameters!$B$11)^rekensheets!$B34,0)-IF(ROUNDDOWN(MOD($B34,parameters!$B$10),0)=parameters!$B$9,businessmodel!G$17*(1+parameters!$B$12)^rekensheets!$B34,0)</f>
        <v>-53.046704767113255</v>
      </c>
      <c r="I34" s="82">
        <f>IF(parameters!$B$4="corporatie",-businessmodel!H$16*(1+parameters!$B$11)^rekensheets!$B34,0)-IF(ROUNDDOWN(MOD($B34,parameters!$B$10),0)=parameters!$B$9,businessmodel!H$17*(1+parameters!$B$12)^rekensheets!$B34,0)</f>
        <v>-58.351375243824577</v>
      </c>
      <c r="J34" s="82">
        <f>IF(parameters!$B$4="corporatie",-businessmodel!I$16*(1+parameters!$B$11)^rekensheets!$B34,0)-IF(ROUNDDOWN(MOD($B34,parameters!$B$10),0)=parameters!$B$9,businessmodel!I$17*(1+parameters!$B$12)^rekensheets!$B34,0)</f>
        <v>-66.308380958891561</v>
      </c>
      <c r="K34" s="82">
        <f>IF(parameters!$B$4="corporatie",-businessmodel!J$16*(1+parameters!$B$11)^rekensheets!$B34,0)-IF(ROUNDDOWN(MOD($B34,parameters!$B$10),0)=parameters!$B$9,businessmodel!J$17*(1+parameters!$B$12)^rekensheets!$B34,0)</f>
        <v>-92.831733342448189</v>
      </c>
      <c r="L34" s="82">
        <f>IF(parameters!$B$4="corporatie",-businessmodel!K$16*(1+parameters!$B$11)^rekensheets!$B34,0)-IF(ROUNDDOWN(MOD($B34,parameters!$B$10),0)=parameters!$B$9,businessmodel!K$17*(1+parameters!$B$12)^rekensheets!$B34,0)</f>
        <v>-31.82802286026795</v>
      </c>
      <c r="M34" s="82">
        <f>IF(parameters!$B$4="corporatie",-businessmodel!L$16*(1+parameters!$B$11)^rekensheets!$B34,0)-IF(ROUNDDOWN(MOD($B34,parameters!$B$10),0)=parameters!$B$9,businessmodel!L$17*(1+parameters!$B$12)^rekensheets!$B34,0)</f>
        <v>-26.523352383556627</v>
      </c>
      <c r="N34" s="82">
        <f>IF(parameters!$B$4="corporatie",-businessmodel!M$16*(1+parameters!$B$11)^rekensheets!$B34,0)-IF(ROUNDDOWN(MOD($B34,parameters!$B$10),0)=parameters!$B$9,businessmodel!M$17*(1+parameters!$B$12)^rekensheets!$B34,0)</f>
        <v>-116.70275048764915</v>
      </c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</row>
    <row r="35" spans="1:44" ht="13.8">
      <c r="A35" s="84"/>
      <c r="B35" s="99">
        <f t="shared" si="0"/>
        <v>34</v>
      </c>
      <c r="C35" s="82">
        <f>IF(parameters!$B$4="corporatie",-businessmodel!B$16*(1+parameters!$B$11)^rekensheets!$B35,0)-IF(ROUNDDOWN(MOD($B35,parameters!$B$10),0)=parameters!$B$9,businessmodel!B$17*(1+parameters!$B$12)^rekensheets!$B35,0)</f>
        <v>-147.52288595734194</v>
      </c>
      <c r="D35" s="82">
        <f>IF(parameters!$B$4="corporatie",-businessmodel!C$16*(1+parameters!$B$11)^rekensheets!$B35,0)-IF(ROUNDDOWN(MOD($B35,parameters!$B$10),0)=parameters!$B$9,businessmodel!C$17*(1+parameters!$B$12)^rekensheets!$B35,0)</f>
        <v>-51.90620061462031</v>
      </c>
      <c r="E35" s="82">
        <f>IF(parameters!$B$4="corporatie",-businessmodel!D$16*(1+parameters!$B$11)^rekensheets!$B35,0)-IF(ROUNDDOWN(MOD($B35,parameters!$B$10),0)=parameters!$B$9,businessmodel!D$17*(1+parameters!$B$12)^rekensheets!$B35,0)</f>
        <v>-35.514768841582317</v>
      </c>
      <c r="F35" s="82">
        <f>IF(parameters!$B$4="corporatie",-businessmodel!E$16*(1+parameters!$B$11)^rekensheets!$B35,0)-IF(ROUNDDOWN(MOD($B35,parameters!$B$10),0)=parameters!$B$9,businessmodel!E$17*(1+parameters!$B$12)^rekensheets!$B35,0)</f>
        <v>-90.152874751708964</v>
      </c>
      <c r="G35" s="82">
        <f>IF(parameters!$B$4="corporatie",-businessmodel!F$16*(1+parameters!$B$11)^rekensheets!$B35,0)-IF(ROUNDDOWN(MOD($B35,parameters!$B$10),0)=parameters!$B$9,businessmodel!F$17*(1+parameters!$B$12)^rekensheets!$B35,0)</f>
        <v>-172.11003361689893</v>
      </c>
      <c r="H35" s="82">
        <f>IF(parameters!$B$4="corporatie",-businessmodel!G$16*(1+parameters!$B$11)^rekensheets!$B35,0)-IF(ROUNDDOWN(MOD($B35,parameters!$B$10),0)=parameters!$B$9,businessmodel!G$17*(1+parameters!$B$12)^rekensheets!$B35,0)</f>
        <v>-54.63810591012664</v>
      </c>
      <c r="I35" s="82">
        <f>IF(parameters!$B$4="corporatie",-businessmodel!H$16*(1+parameters!$B$11)^rekensheets!$B35,0)-IF(ROUNDDOWN(MOD($B35,parameters!$B$10),0)=parameters!$B$9,businessmodel!H$17*(1+parameters!$B$12)^rekensheets!$B35,0)</f>
        <v>-60.101916501139307</v>
      </c>
      <c r="J35" s="82">
        <f>IF(parameters!$B$4="corporatie",-businessmodel!I$16*(1+parameters!$B$11)^rekensheets!$B35,0)-IF(ROUNDDOWN(MOD($B35,parameters!$B$10),0)=parameters!$B$9,businessmodel!I$17*(1+parameters!$B$12)^rekensheets!$B35,0)</f>
        <v>-68.297632387658297</v>
      </c>
      <c r="K35" s="82">
        <f>IF(parameters!$B$4="corporatie",-businessmodel!J$16*(1+parameters!$B$11)^rekensheets!$B35,0)-IF(ROUNDDOWN(MOD($B35,parameters!$B$10),0)=parameters!$B$9,businessmodel!J$17*(1+parameters!$B$12)^rekensheets!$B35,0)</f>
        <v>-95.616685342721624</v>
      </c>
      <c r="L35" s="82">
        <f>IF(parameters!$B$4="corporatie",-businessmodel!K$16*(1+parameters!$B$11)^rekensheets!$B35,0)-IF(ROUNDDOWN(MOD($B35,parameters!$B$10),0)=parameters!$B$9,businessmodel!K$17*(1+parameters!$B$12)^rekensheets!$B35,0)</f>
        <v>-32.782863546075987</v>
      </c>
      <c r="M35" s="82">
        <f>IF(parameters!$B$4="corporatie",-businessmodel!L$16*(1+parameters!$B$11)^rekensheets!$B35,0)-IF(ROUNDDOWN(MOD($B35,parameters!$B$10),0)=parameters!$B$9,businessmodel!L$17*(1+parameters!$B$12)^rekensheets!$B35,0)</f>
        <v>-27.31905295506332</v>
      </c>
      <c r="N35" s="82">
        <f>IF(parameters!$B$4="corporatie",-businessmodel!M$16*(1+parameters!$B$11)^rekensheets!$B35,0)-IF(ROUNDDOWN(MOD($B35,parameters!$B$10),0)=parameters!$B$9,businessmodel!M$17*(1+parameters!$B$12)^rekensheets!$B35,0)</f>
        <v>-120.20383300227861</v>
      </c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</row>
    <row r="36" spans="1:44" ht="13.8">
      <c r="A36" s="84"/>
      <c r="B36" s="99">
        <f t="shared" si="0"/>
        <v>35</v>
      </c>
      <c r="C36" s="82">
        <f>IF(parameters!$B$4="corporatie",-businessmodel!B$16*(1+parameters!$B$11)^rekensheets!$B36,0)-IF(ROUNDDOWN(MOD($B36,parameters!$B$10),0)=parameters!$B$9,businessmodel!B$17*(1+parameters!$B$12)^rekensheets!$B36,0)</f>
        <v>-151.94857253606222</v>
      </c>
      <c r="D36" s="82">
        <f>IF(parameters!$B$4="corporatie",-businessmodel!C$16*(1+parameters!$B$11)^rekensheets!$B36,0)-IF(ROUNDDOWN(MOD($B36,parameters!$B$10),0)=parameters!$B$9,businessmodel!C$17*(1+parameters!$B$12)^rekensheets!$B36,0)</f>
        <v>-53.463386633058924</v>
      </c>
      <c r="E36" s="82">
        <f>IF(parameters!$B$4="corporatie",-businessmodel!D$16*(1+parameters!$B$11)^rekensheets!$B36,0)-IF(ROUNDDOWN(MOD($B36,parameters!$B$10),0)=parameters!$B$9,businessmodel!D$17*(1+parameters!$B$12)^rekensheets!$B36,0)</f>
        <v>-36.580211906829796</v>
      </c>
      <c r="F36" s="82">
        <f>IF(parameters!$B$4="corporatie",-businessmodel!E$16*(1+parameters!$B$11)^rekensheets!$B36,0)-IF(ROUNDDOWN(MOD($B36,parameters!$B$10),0)=parameters!$B$9,businessmodel!E$17*(1+parameters!$B$12)^rekensheets!$B36,0)</f>
        <v>-92.857460994260236</v>
      </c>
      <c r="G36" s="82">
        <f>IF(parameters!$B$4="corporatie",-businessmodel!F$16*(1+parameters!$B$11)^rekensheets!$B36,0)-IF(ROUNDDOWN(MOD($B36,parameters!$B$10),0)=parameters!$B$9,businessmodel!F$17*(1+parameters!$B$12)^rekensheets!$B36,0)</f>
        <v>-177.27333462540591</v>
      </c>
      <c r="H36" s="82">
        <f>IF(parameters!$B$4="corporatie",-businessmodel!G$16*(1+parameters!$B$11)^rekensheets!$B36,0)-IF(ROUNDDOWN(MOD($B36,parameters!$B$10),0)=parameters!$B$9,businessmodel!G$17*(1+parameters!$B$12)^rekensheets!$B36,0)</f>
        <v>-56.277249087430448</v>
      </c>
      <c r="I36" s="82">
        <f>IF(parameters!$B$4="corporatie",-businessmodel!H$16*(1+parameters!$B$11)^rekensheets!$B36,0)-IF(ROUNDDOWN(MOD($B36,parameters!$B$10),0)=parameters!$B$9,businessmodel!H$17*(1+parameters!$B$12)^rekensheets!$B36,0)</f>
        <v>-61.904973996173496</v>
      </c>
      <c r="J36" s="82">
        <f>IF(parameters!$B$4="corporatie",-businessmodel!I$16*(1+parameters!$B$11)^rekensheets!$B36,0)-IF(ROUNDDOWN(MOD($B36,parameters!$B$10),0)=parameters!$B$9,businessmodel!I$17*(1+parameters!$B$12)^rekensheets!$B36,0)</f>
        <v>-70.34656135928806</v>
      </c>
      <c r="K36" s="82">
        <f>IF(parameters!$B$4="corporatie",-businessmodel!J$16*(1+parameters!$B$11)^rekensheets!$B36,0)-IF(ROUNDDOWN(MOD($B36,parameters!$B$10),0)=parameters!$B$9,businessmodel!J$17*(1+parameters!$B$12)^rekensheets!$B36,0)</f>
        <v>-98.485185903003284</v>
      </c>
      <c r="L36" s="82">
        <f>IF(parameters!$B$4="corporatie",-businessmodel!K$16*(1+parameters!$B$11)^rekensheets!$B36,0)-IF(ROUNDDOWN(MOD($B36,parameters!$B$10),0)=parameters!$B$9,businessmodel!K$17*(1+parameters!$B$12)^rekensheets!$B36,0)</f>
        <v>-33.766349452458272</v>
      </c>
      <c r="M36" s="82">
        <f>IF(parameters!$B$4="corporatie",-businessmodel!L$16*(1+parameters!$B$11)^rekensheets!$B36,0)-IF(ROUNDDOWN(MOD($B36,parameters!$B$10),0)=parameters!$B$9,businessmodel!L$17*(1+parameters!$B$12)^rekensheets!$B36,0)</f>
        <v>-28.138624543715224</v>
      </c>
      <c r="N36" s="82">
        <f>IF(parameters!$B$4="corporatie",-businessmodel!M$16*(1+parameters!$B$11)^rekensheets!$B36,0)-IF(ROUNDDOWN(MOD($B36,parameters!$B$10),0)=parameters!$B$9,businessmodel!M$17*(1+parameters!$B$12)^rekensheets!$B36,0)</f>
        <v>-123.80994799234699</v>
      </c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</row>
    <row r="37" spans="1:44" ht="13.8">
      <c r="A37" s="84"/>
      <c r="B37" s="99">
        <f t="shared" si="0"/>
        <v>36</v>
      </c>
      <c r="C37" s="82">
        <f>IF(parameters!$B$4="corporatie",-businessmodel!B$16*(1+parameters!$B$11)^rekensheets!$B37,0)-IF(ROUNDDOWN(MOD($B37,parameters!$B$10),0)=parameters!$B$9,businessmodel!B$17*(1+parameters!$B$12)^rekensheets!$B37,0)</f>
        <v>-156.50702971214406</v>
      </c>
      <c r="D37" s="82">
        <f>IF(parameters!$B$4="corporatie",-businessmodel!C$16*(1+parameters!$B$11)^rekensheets!$B37,0)-IF(ROUNDDOWN(MOD($B37,parameters!$B$10),0)=parameters!$B$9,businessmodel!C$17*(1+parameters!$B$12)^rekensheets!$B37,0)</f>
        <v>-55.067288232050693</v>
      </c>
      <c r="E37" s="82">
        <f>IF(parameters!$B$4="corporatie",-businessmodel!D$16*(1+parameters!$B$11)^rekensheets!$B37,0)-IF(ROUNDDOWN(MOD($B37,parameters!$B$10),0)=parameters!$B$9,businessmodel!D$17*(1+parameters!$B$12)^rekensheets!$B37,0)</f>
        <v>-37.677618264034685</v>
      </c>
      <c r="F37" s="82">
        <f>IF(parameters!$B$4="corporatie",-businessmodel!E$16*(1+parameters!$B$11)^rekensheets!$B37,0)-IF(ROUNDDOWN(MOD($B37,parameters!$B$10),0)=parameters!$B$9,businessmodel!E$17*(1+parameters!$B$12)^rekensheets!$B37,0)</f>
        <v>-95.643184824088053</v>
      </c>
      <c r="G37" s="82">
        <f>IF(parameters!$B$4="corporatie",-businessmodel!F$16*(1+parameters!$B$11)^rekensheets!$B37,0)-IF(ROUNDDOWN(MOD($B37,parameters!$B$10),0)=parameters!$B$9,businessmodel!F$17*(1+parameters!$B$12)^rekensheets!$B37,0)</f>
        <v>-182.59153466416808</v>
      </c>
      <c r="H37" s="82">
        <f>IF(parameters!$B$4="corporatie",-businessmodel!G$16*(1+parameters!$B$11)^rekensheets!$B37,0)-IF(ROUNDDOWN(MOD($B37,parameters!$B$10),0)=parameters!$B$9,businessmodel!G$17*(1+parameters!$B$12)^rekensheets!$B37,0)</f>
        <v>-57.965566560053361</v>
      </c>
      <c r="I37" s="82">
        <f>IF(parameters!$B$4="corporatie",-businessmodel!H$16*(1+parameters!$B$11)^rekensheets!$B37,0)-IF(ROUNDDOWN(MOD($B37,parameters!$B$10),0)=parameters!$B$9,businessmodel!H$17*(1+parameters!$B$12)^rekensheets!$B37,0)</f>
        <v>-63.762123216058697</v>
      </c>
      <c r="J37" s="82">
        <f>IF(parameters!$B$4="corporatie",-businessmodel!I$16*(1+parameters!$B$11)^rekensheets!$B37,0)-IF(ROUNDDOWN(MOD($B37,parameters!$B$10),0)=parameters!$B$9,businessmodel!I$17*(1+parameters!$B$12)^rekensheets!$B37,0)</f>
        <v>-72.456958200066708</v>
      </c>
      <c r="K37" s="82">
        <f>IF(parameters!$B$4="corporatie",-businessmodel!J$16*(1+parameters!$B$11)^rekensheets!$B37,0)-IF(ROUNDDOWN(MOD($B37,parameters!$B$10),0)=parameters!$B$9,businessmodel!J$17*(1+parameters!$B$12)^rekensheets!$B37,0)</f>
        <v>-101.43974148009337</v>
      </c>
      <c r="L37" s="82">
        <f>IF(parameters!$B$4="corporatie",-businessmodel!K$16*(1+parameters!$B$11)^rekensheets!$B37,0)-IF(ROUNDDOWN(MOD($B37,parameters!$B$10),0)=parameters!$B$9,businessmodel!K$17*(1+parameters!$B$12)^rekensheets!$B37,0)</f>
        <v>-34.779339936032017</v>
      </c>
      <c r="M37" s="82">
        <f>IF(parameters!$B$4="corporatie",-businessmodel!L$16*(1+parameters!$B$11)^rekensheets!$B37,0)-IF(ROUNDDOWN(MOD($B37,parameters!$B$10),0)=parameters!$B$9,businessmodel!L$17*(1+parameters!$B$12)^rekensheets!$B37,0)</f>
        <v>-28.98278328002668</v>
      </c>
      <c r="N37" s="82">
        <f>IF(parameters!$B$4="corporatie",-businessmodel!M$16*(1+parameters!$B$11)^rekensheets!$B37,0)-IF(ROUNDDOWN(MOD($B37,parameters!$B$10),0)=parameters!$B$9,businessmodel!M$17*(1+parameters!$B$12)^rekensheets!$B37,0)</f>
        <v>-127.52424643211739</v>
      </c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</row>
    <row r="38" spans="1:44" ht="13.8">
      <c r="A38" s="84"/>
      <c r="B38" s="99">
        <f t="shared" si="0"/>
        <v>37</v>
      </c>
      <c r="C38" s="82">
        <f>IF(parameters!$B$4="corporatie",-businessmodel!B$16*(1+parameters!$B$11)^rekensheets!$B38,0)-IF(ROUNDDOWN(MOD($B38,parameters!$B$10),0)=parameters!$B$9,businessmodel!B$17*(1+parameters!$B$12)^rekensheets!$B38,0)</f>
        <v>-161.20224060350839</v>
      </c>
      <c r="D38" s="82">
        <f>IF(parameters!$B$4="corporatie",-businessmodel!C$16*(1+parameters!$B$11)^rekensheets!$B38,0)-IF(ROUNDDOWN(MOD($B38,parameters!$B$10),0)=parameters!$B$9,businessmodel!C$17*(1+parameters!$B$12)^rekensheets!$B38,0)</f>
        <v>-56.719306879012208</v>
      </c>
      <c r="E38" s="82">
        <f>IF(parameters!$B$4="corporatie",-businessmodel!D$16*(1+parameters!$B$11)^rekensheets!$B38,0)-IF(ROUNDDOWN(MOD($B38,parameters!$B$10),0)=parameters!$B$9,businessmodel!D$17*(1+parameters!$B$12)^rekensheets!$B38,0)</f>
        <v>-38.807946811955716</v>
      </c>
      <c r="F38" s="82">
        <f>IF(parameters!$B$4="corporatie",-businessmodel!E$16*(1+parameters!$B$11)^rekensheets!$B38,0)-IF(ROUNDDOWN(MOD($B38,parameters!$B$10),0)=parameters!$B$9,businessmodel!E$17*(1+parameters!$B$12)^rekensheets!$B38,0)</f>
        <v>-98.512480368810671</v>
      </c>
      <c r="G38" s="82">
        <f>IF(parameters!$B$4="corporatie",-businessmodel!F$16*(1+parameters!$B$11)^rekensheets!$B38,0)-IF(ROUNDDOWN(MOD($B38,parameters!$B$10),0)=parameters!$B$9,businessmodel!F$17*(1+parameters!$B$12)^rekensheets!$B38,0)</f>
        <v>-188.0692807040931</v>
      </c>
      <c r="H38" s="82">
        <f>IF(parameters!$B$4="corporatie",-businessmodel!G$16*(1+parameters!$B$11)^rekensheets!$B38,0)-IF(ROUNDDOWN(MOD($B38,parameters!$B$10),0)=parameters!$B$9,businessmodel!G$17*(1+parameters!$B$12)^rekensheets!$B38,0)</f>
        <v>-59.704533556854955</v>
      </c>
      <c r="I38" s="82">
        <f>IF(parameters!$B$4="corporatie",-businessmodel!H$16*(1+parameters!$B$11)^rekensheets!$B38,0)-IF(ROUNDDOWN(MOD($B38,parameters!$B$10),0)=parameters!$B$9,businessmodel!H$17*(1+parameters!$B$12)^rekensheets!$B38,0)</f>
        <v>-65.674986912540447</v>
      </c>
      <c r="J38" s="82">
        <f>IF(parameters!$B$4="corporatie",-businessmodel!I$16*(1+parameters!$B$11)^rekensheets!$B38,0)-IF(ROUNDDOWN(MOD($B38,parameters!$B$10),0)=parameters!$B$9,businessmodel!I$17*(1+parameters!$B$12)^rekensheets!$B38,0)</f>
        <v>-74.630666946068686</v>
      </c>
      <c r="K38" s="82">
        <f>IF(parameters!$B$4="corporatie",-businessmodel!J$16*(1+parameters!$B$11)^rekensheets!$B38,0)-IF(ROUNDDOWN(MOD($B38,parameters!$B$10),0)=parameters!$B$9,businessmodel!J$17*(1+parameters!$B$12)^rekensheets!$B38,0)</f>
        <v>-104.48293372449616</v>
      </c>
      <c r="L38" s="82">
        <f>IF(parameters!$B$4="corporatie",-businessmodel!K$16*(1+parameters!$B$11)^rekensheets!$B38,0)-IF(ROUNDDOWN(MOD($B38,parameters!$B$10),0)=parameters!$B$9,businessmodel!K$17*(1+parameters!$B$12)^rekensheets!$B38,0)</f>
        <v>-35.82272013411297</v>
      </c>
      <c r="M38" s="82">
        <f>IF(parameters!$B$4="corporatie",-businessmodel!L$16*(1+parameters!$B$11)^rekensheets!$B38,0)-IF(ROUNDDOWN(MOD($B38,parameters!$B$10),0)=parameters!$B$9,businessmodel!L$17*(1+parameters!$B$12)^rekensheets!$B38,0)</f>
        <v>-29.852266778427477</v>
      </c>
      <c r="N38" s="82">
        <f>IF(parameters!$B$4="corporatie",-businessmodel!M$16*(1+parameters!$B$11)^rekensheets!$B38,0)-IF(ROUNDDOWN(MOD($B38,parameters!$B$10),0)=parameters!$B$9,businessmodel!M$17*(1+parameters!$B$12)^rekensheets!$B38,0)</f>
        <v>-131.34997382508089</v>
      </c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</row>
    <row r="39" spans="1:44" ht="13.8">
      <c r="A39" s="84"/>
      <c r="B39" s="99">
        <f t="shared" si="0"/>
        <v>38</v>
      </c>
      <c r="C39" s="82">
        <f>IF(parameters!$B$4="corporatie",-businessmodel!B$16*(1+parameters!$B$11)^rekensheets!$B39,0)-IF(ROUNDDOWN(MOD($B39,parameters!$B$10),0)=parameters!$B$9,businessmodel!B$17*(1+parameters!$B$12)^rekensheets!$B39,0)</f>
        <v>-166.03830782161361</v>
      </c>
      <c r="D39" s="82">
        <f>IF(parameters!$B$4="corporatie",-businessmodel!C$16*(1+parameters!$B$11)^rekensheets!$B39,0)-IF(ROUNDDOWN(MOD($B39,parameters!$B$10),0)=parameters!$B$9,businessmodel!C$17*(1+parameters!$B$12)^rekensheets!$B39,0)</f>
        <v>-58.42088608538257</v>
      </c>
      <c r="E39" s="82">
        <f>IF(parameters!$B$4="corporatie",-businessmodel!D$16*(1+parameters!$B$11)^rekensheets!$B39,0)-IF(ROUNDDOWN(MOD($B39,parameters!$B$10),0)=parameters!$B$9,businessmodel!D$17*(1+parameters!$B$12)^rekensheets!$B39,0)</f>
        <v>-39.972185216314394</v>
      </c>
      <c r="F39" s="82">
        <f>IF(parameters!$B$4="corporatie",-businessmodel!E$16*(1+parameters!$B$11)^rekensheets!$B39,0)-IF(ROUNDDOWN(MOD($B39,parameters!$B$10),0)=parameters!$B$9,businessmodel!E$17*(1+parameters!$B$12)^rekensheets!$B39,0)</f>
        <v>-101.467854779875</v>
      </c>
      <c r="G39" s="82">
        <f>IF(parameters!$B$4="corporatie",-businessmodel!F$16*(1+parameters!$B$11)^rekensheets!$B39,0)-IF(ROUNDDOWN(MOD($B39,parameters!$B$10),0)=parameters!$B$9,businessmodel!F$17*(1+parameters!$B$12)^rekensheets!$B39,0)</f>
        <v>-193.71135912521589</v>
      </c>
      <c r="H39" s="82">
        <f>IF(parameters!$B$4="corporatie",-businessmodel!G$16*(1+parameters!$B$11)^rekensheets!$B39,0)-IF(ROUNDDOWN(MOD($B39,parameters!$B$10),0)=parameters!$B$9,businessmodel!G$17*(1+parameters!$B$12)^rekensheets!$B39,0)</f>
        <v>-61.495669563560604</v>
      </c>
      <c r="I39" s="82">
        <f>IF(parameters!$B$4="corporatie",-businessmodel!H$16*(1+parameters!$B$11)^rekensheets!$B39,0)-IF(ROUNDDOWN(MOD($B39,parameters!$B$10),0)=parameters!$B$9,businessmodel!H$17*(1+parameters!$B$12)^rekensheets!$B39,0)</f>
        <v>-67.645236519916665</v>
      </c>
      <c r="J39" s="82">
        <f>IF(parameters!$B$4="corporatie",-businessmodel!I$16*(1+parameters!$B$11)^rekensheets!$B39,0)-IF(ROUNDDOWN(MOD($B39,parameters!$B$10),0)=parameters!$B$9,businessmodel!I$17*(1+parameters!$B$12)^rekensheets!$B39,0)</f>
        <v>-76.869586954450753</v>
      </c>
      <c r="K39" s="82">
        <f>IF(parameters!$B$4="corporatie",-businessmodel!J$16*(1+parameters!$B$11)^rekensheets!$B39,0)-IF(ROUNDDOWN(MOD($B39,parameters!$B$10),0)=parameters!$B$9,businessmodel!J$17*(1+parameters!$B$12)^rekensheets!$B39,0)</f>
        <v>-107.61742173623105</v>
      </c>
      <c r="L39" s="82">
        <f>IF(parameters!$B$4="corporatie",-businessmodel!K$16*(1+parameters!$B$11)^rekensheets!$B39,0)-IF(ROUNDDOWN(MOD($B39,parameters!$B$10),0)=parameters!$B$9,businessmodel!K$17*(1+parameters!$B$12)^rekensheets!$B39,0)</f>
        <v>-36.897401738136359</v>
      </c>
      <c r="M39" s="82">
        <f>IF(parameters!$B$4="corporatie",-businessmodel!L$16*(1+parameters!$B$11)^rekensheets!$B39,0)-IF(ROUNDDOWN(MOD($B39,parameters!$B$10),0)=parameters!$B$9,businessmodel!L$17*(1+parameters!$B$12)^rekensheets!$B39,0)</f>
        <v>-30.747834781780302</v>
      </c>
      <c r="N39" s="82">
        <f>IF(parameters!$B$4="corporatie",-businessmodel!M$16*(1+parameters!$B$11)^rekensheets!$B39,0)-IF(ROUNDDOWN(MOD($B39,parameters!$B$10),0)=parameters!$B$9,businessmodel!M$17*(1+parameters!$B$12)^rekensheets!$B39,0)</f>
        <v>-135.29047303983333</v>
      </c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</row>
    <row r="40" spans="1:44" ht="13.8">
      <c r="A40" s="84"/>
      <c r="B40" s="99">
        <f t="shared" si="0"/>
        <v>39</v>
      </c>
      <c r="C40" s="82">
        <f>IF(parameters!$B$4="corporatie",-businessmodel!B$16*(1+parameters!$B$11)^rekensheets!$B40,0)-IF(ROUNDDOWN(MOD($B40,parameters!$B$10),0)=parameters!$B$9,businessmodel!B$17*(1+parameters!$B$12)^rekensheets!$B40,0)</f>
        <v>-171.01945705626207</v>
      </c>
      <c r="D40" s="82">
        <f>IF(parameters!$B$4="corporatie",-businessmodel!C$16*(1+parameters!$B$11)^rekensheets!$B40,0)-IF(ROUNDDOWN(MOD($B40,parameters!$B$10),0)=parameters!$B$9,businessmodel!C$17*(1+parameters!$B$12)^rekensheets!$B40,0)</f>
        <v>-60.17351266794406</v>
      </c>
      <c r="E40" s="82">
        <f>IF(parameters!$B$4="corporatie",-businessmodel!D$16*(1+parameters!$B$11)^rekensheets!$B40,0)-IF(ROUNDDOWN(MOD($B40,parameters!$B$10),0)=parameters!$B$9,businessmodel!D$17*(1+parameters!$B$12)^rekensheets!$B40,0)</f>
        <v>-41.171350772803827</v>
      </c>
      <c r="F40" s="82">
        <f>IF(parameters!$B$4="corporatie",-businessmodel!E$16*(1+parameters!$B$11)^rekensheets!$B40,0)-IF(ROUNDDOWN(MOD($B40,parameters!$B$10),0)=parameters!$B$9,businessmodel!E$17*(1+parameters!$B$12)^rekensheets!$B40,0)</f>
        <v>-104.51189042327125</v>
      </c>
      <c r="G40" s="82">
        <f>IF(parameters!$B$4="corporatie",-businessmodel!F$16*(1+parameters!$B$11)^rekensheets!$B40,0)-IF(ROUNDDOWN(MOD($B40,parameters!$B$10),0)=parameters!$B$9,businessmodel!F$17*(1+parameters!$B$12)^rekensheets!$B40,0)</f>
        <v>-199.52269989897241</v>
      </c>
      <c r="H40" s="82">
        <f>IF(parameters!$B$4="corporatie",-businessmodel!G$16*(1+parameters!$B$11)^rekensheets!$B40,0)-IF(ROUNDDOWN(MOD($B40,parameters!$B$10),0)=parameters!$B$9,businessmodel!G$17*(1+parameters!$B$12)^rekensheets!$B40,0)</f>
        <v>-63.340539650467427</v>
      </c>
      <c r="I40" s="82">
        <f>IF(parameters!$B$4="corporatie",-businessmodel!H$16*(1+parameters!$B$11)^rekensheets!$B40,0)-IF(ROUNDDOWN(MOD($B40,parameters!$B$10),0)=parameters!$B$9,businessmodel!H$17*(1+parameters!$B$12)^rekensheets!$B40,0)</f>
        <v>-69.674593615514169</v>
      </c>
      <c r="J40" s="82">
        <f>IF(parameters!$B$4="corporatie",-businessmodel!I$16*(1+parameters!$B$11)^rekensheets!$B40,0)-IF(ROUNDDOWN(MOD($B40,parameters!$B$10),0)=parameters!$B$9,businessmodel!I$17*(1+parameters!$B$12)^rekensheets!$B40,0)</f>
        <v>-79.175674563084286</v>
      </c>
      <c r="K40" s="82">
        <f>IF(parameters!$B$4="corporatie",-businessmodel!J$16*(1+parameters!$B$11)^rekensheets!$B40,0)-IF(ROUNDDOWN(MOD($B40,parameters!$B$10),0)=parameters!$B$9,businessmodel!J$17*(1+parameters!$B$12)^rekensheets!$B40,0)</f>
        <v>-110.845944388318</v>
      </c>
      <c r="L40" s="82">
        <f>IF(parameters!$B$4="corporatie",-businessmodel!K$16*(1+parameters!$B$11)^rekensheets!$B40,0)-IF(ROUNDDOWN(MOD($B40,parameters!$B$10),0)=parameters!$B$9,businessmodel!K$17*(1+parameters!$B$12)^rekensheets!$B40,0)</f>
        <v>-38.004323790280459</v>
      </c>
      <c r="M40" s="82">
        <f>IF(parameters!$B$4="corporatie",-businessmodel!L$16*(1+parameters!$B$11)^rekensheets!$B40,0)-IF(ROUNDDOWN(MOD($B40,parameters!$B$10),0)=parameters!$B$9,businessmodel!L$17*(1+parameters!$B$12)^rekensheets!$B40,0)</f>
        <v>-31.670269825233714</v>
      </c>
      <c r="N40" s="82">
        <f>IF(parameters!$B$4="corporatie",-businessmodel!M$16*(1+parameters!$B$11)^rekensheets!$B40,0)-IF(ROUNDDOWN(MOD($B40,parameters!$B$10),0)=parameters!$B$9,businessmodel!M$17*(1+parameters!$B$12)^rekensheets!$B40,0)</f>
        <v>-139.34918723102834</v>
      </c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</row>
    <row r="41" spans="1:44" ht="13.8">
      <c r="A41" s="84"/>
      <c r="B41" s="99">
        <f t="shared" si="0"/>
        <v>40</v>
      </c>
      <c r="C41" s="82">
        <f>IF(parameters!$B$4="corporatie",-businessmodel!B$16*(1+parameters!$B$11)^rekensheets!$B41,0)-IF(ROUNDDOWN(MOD($B41,parameters!$B$10),0)=parameters!$B$9,businessmodel!B$17*(1+parameters!$B$12)^rekensheets!$B41,0)</f>
        <v>-437.11306412787565</v>
      </c>
      <c r="D41" s="82">
        <f>IF(parameters!$B$4="corporatie",-businessmodel!C$16*(1+parameters!$B$11)^rekensheets!$B41,0)-IF(ROUNDDOWN(MOD($B41,parameters!$B$10),0)=parameters!$B$9,businessmodel!C$17*(1+parameters!$B$12)^rekensheets!$B41,0)</f>
        <v>-1203.6919452476575</v>
      </c>
      <c r="E41" s="82">
        <f>IF(parameters!$B$4="corporatie",-businessmodel!D$16*(1+parameters!$B$11)^rekensheets!$B41,0)-IF(ROUNDDOWN(MOD($B41,parameters!$B$10),0)=parameters!$B$9,businessmodel!D$17*(1+parameters!$B$12)^rekensheets!$B41,0)</f>
        <v>-368.61027049589518</v>
      </c>
      <c r="F41" s="82">
        <f>IF(parameters!$B$4="corporatie",-businessmodel!E$16*(1+parameters!$B$11)^rekensheets!$B41,0)-IF(ROUNDDOWN(MOD($B41,parameters!$B$10),0)=parameters!$B$9,businessmodel!E$17*(1+parameters!$B$12)^rekensheets!$B41,0)</f>
        <v>-433.85102633587661</v>
      </c>
      <c r="G41" s="82">
        <f>IF(parameters!$B$4="corporatie",-businessmodel!F$16*(1+parameters!$B$11)^rekensheets!$B41,0)-IF(ROUNDDOWN(MOD($B41,parameters!$B$10),0)=parameters!$B$9,businessmodel!F$17*(1+parameters!$B$12)^rekensheets!$B41,0)</f>
        <v>-531.71216009584873</v>
      </c>
      <c r="H41" s="82">
        <f>IF(parameters!$B$4="corporatie",-businessmodel!G$16*(1+parameters!$B$11)^rekensheets!$B41,0)-IF(ROUNDDOWN(MOD($B41,parameters!$B$10),0)=parameters!$B$9,businessmodel!G$17*(1+parameters!$B$12)^rekensheets!$B41,0)</f>
        <v>-260.96302335992573</v>
      </c>
      <c r="I41" s="82">
        <f>IF(parameters!$B$4="corporatie",-businessmodel!H$16*(1+parameters!$B$11)^rekensheets!$B41,0)-IF(ROUNDDOWN(MOD($B41,parameters!$B$10),0)=parameters!$B$9,businessmodel!H$17*(1+parameters!$B$12)^rekensheets!$B41,0)</f>
        <v>-234.8667210239332</v>
      </c>
      <c r="J41" s="82">
        <f>IF(parameters!$B$4="corporatie",-businessmodel!I$16*(1+parameters!$B$11)^rekensheets!$B41,0)-IF(ROUNDDOWN(MOD($B41,parameters!$B$10),0)=parameters!$B$9,businessmodel!I$17*(1+parameters!$B$12)^rekensheets!$B41,0)</f>
        <v>-244.65283439993041</v>
      </c>
      <c r="K41" s="82">
        <f>IF(parameters!$B$4="corporatie",-businessmodel!J$16*(1+parameters!$B$11)^rekensheets!$B41,0)-IF(ROUNDDOWN(MOD($B41,parameters!$B$10),0)=parameters!$B$9,businessmodel!J$17*(1+parameters!$B$12)^rekensheets!$B41,0)</f>
        <v>-309.89359023991187</v>
      </c>
      <c r="L41" s="82">
        <f>IF(parameters!$B$4="corporatie",-businessmodel!K$16*(1+parameters!$B$11)^rekensheets!$B41,0)-IF(ROUNDDOWN(MOD($B41,parameters!$B$10),0)=parameters!$B$9,businessmodel!K$17*(1+parameters!$B$12)^rekensheets!$B41,0)</f>
        <v>-234.8667210239332</v>
      </c>
      <c r="M41" s="82">
        <f>IF(parameters!$B$4="corporatie",-businessmodel!L$16*(1+parameters!$B$11)^rekensheets!$B41,0)-IF(ROUNDDOWN(MOD($B41,parameters!$B$10),0)=parameters!$B$9,businessmodel!L$17*(1+parameters!$B$12)^rekensheets!$B41,0)</f>
        <v>-195.72226751994432</v>
      </c>
      <c r="N41" s="82">
        <f>IF(parameters!$B$4="corporatie",-businessmodel!M$16*(1+parameters!$B$11)^rekensheets!$B41,0)-IF(ROUNDDOWN(MOD($B41,parameters!$B$10),0)=parameters!$B$9,businessmodel!M$17*(1+parameters!$B$12)^rekensheets!$B41,0)</f>
        <v>-632.83533164781988</v>
      </c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</row>
    <row r="42" spans="1:44">
      <c r="A42" s="84"/>
    </row>
    <row r="44" spans="1:44">
      <c r="A44" s="86" t="s">
        <v>142</v>
      </c>
      <c r="B44" s="99" t="str">
        <f>B1</f>
        <v>Jaar</v>
      </c>
    </row>
    <row r="45" spans="1:44" ht="13.8">
      <c r="A45" s="84" t="s">
        <v>143</v>
      </c>
      <c r="B45" s="99">
        <f>B2</f>
        <v>1</v>
      </c>
      <c r="C45" s="82">
        <f>-businessmodel!B$7</f>
        <v>-300</v>
      </c>
      <c r="D45" s="82">
        <f>-businessmodel!C$7</f>
        <v>-600</v>
      </c>
      <c r="E45" s="82">
        <f>-businessmodel!D$7</f>
        <v>-200</v>
      </c>
      <c r="F45" s="82">
        <f>-businessmodel!E$7</f>
        <v>-275</v>
      </c>
      <c r="G45" s="82">
        <f>-businessmodel!F$7</f>
        <v>-346</v>
      </c>
      <c r="H45" s="82">
        <f>-businessmodel!G$7</f>
        <v>-157</v>
      </c>
      <c r="I45" s="82">
        <f>-businessmodel!H$7</f>
        <v>-560</v>
      </c>
      <c r="J45" s="82">
        <f>-businessmodel!I$7</f>
        <v>-200</v>
      </c>
      <c r="K45" s="82">
        <f>-businessmodel!J$7</f>
        <v>-188</v>
      </c>
      <c r="L45" s="82">
        <f>-businessmodel!K$7</f>
        <v>-210</v>
      </c>
      <c r="M45" s="82">
        <f>-businessmodel!L$7</f>
        <v>-225</v>
      </c>
      <c r="N45" s="82">
        <f>-businessmodel!M$7</f>
        <v>-290</v>
      </c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</row>
    <row r="46" spans="1:44" ht="13.8">
      <c r="B46" s="99">
        <f t="shared" ref="B46:B84" si="1">B45+1</f>
        <v>2</v>
      </c>
      <c r="C46" s="82">
        <f>IF(ROUNDDOWN(MOD($B46,businessmodel!B$22),0)=0,-businessmodel!B$7*(1+parameters!$B$13)^$B46,0)</f>
        <v>0</v>
      </c>
      <c r="D46" s="82">
        <f>IF(ROUNDDOWN(MOD($B46,businessmodel!C$22),0)=0,-businessmodel!C$7*(1+parameters!$B$13)^$B46,0)</f>
        <v>0</v>
      </c>
      <c r="E46" s="82">
        <f>IF(ROUNDDOWN(MOD($B46,businessmodel!D$22),0)=0,-businessmodel!D$7*(1+parameters!$B$13)^$B46,0)</f>
        <v>0</v>
      </c>
      <c r="F46" s="82">
        <f>IF(ROUNDDOWN(MOD($B46,businessmodel!E$22),0)=0,-businessmodel!E$7*(1+parameters!$B$13)^$B46,0)</f>
        <v>0</v>
      </c>
      <c r="G46" s="82">
        <f>IF(ROUNDDOWN(MOD($B46,businessmodel!F$22),0)=0,-businessmodel!F$7*(1+parameters!$B$13)^$B46,0)</f>
        <v>0</v>
      </c>
      <c r="H46" s="82">
        <f>IF(ROUNDDOWN(MOD($B46,businessmodel!G$22),0)=0,-businessmodel!G$7*(1+parameters!$B$13)^$B46,0)</f>
        <v>0</v>
      </c>
      <c r="I46" s="82">
        <f>IF(ROUNDDOWN(MOD($B46,businessmodel!H$22),0)=0,-businessmodel!H$7*(1+parameters!$B$13)^$B46,0)</f>
        <v>0</v>
      </c>
      <c r="J46" s="82">
        <f>IF(ROUNDDOWN(MOD($B46,businessmodel!I$22),0)=0,-businessmodel!I$7*(1+parameters!$B$13)^$B46,0)</f>
        <v>0</v>
      </c>
      <c r="K46" s="82">
        <f>IF(ROUNDDOWN(MOD($B46,businessmodel!J$22),0)=0,-businessmodel!J$7*(1+parameters!$B$13)^$B46,0)</f>
        <v>0</v>
      </c>
      <c r="L46" s="82">
        <f>IF(ROUNDDOWN(MOD($B46,businessmodel!K$22),0)=0,-businessmodel!K$7*(1+parameters!$B$13)^$B46,0)</f>
        <v>0</v>
      </c>
      <c r="M46" s="82">
        <f>IF(ROUNDDOWN(MOD($B46,businessmodel!L$22),0)=0,-businessmodel!L$7*(1+parameters!$B$13)^$B46,0)</f>
        <v>0</v>
      </c>
      <c r="N46" s="82">
        <f>IF(ROUNDDOWN(MOD($B46,businessmodel!M$22),0)=0,-businessmodel!M$7*(1+parameters!$B$13)^$B46,0)</f>
        <v>0</v>
      </c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</row>
    <row r="47" spans="1:44" ht="13.8">
      <c r="B47" s="99">
        <f t="shared" si="1"/>
        <v>3</v>
      </c>
      <c r="C47" s="82">
        <f>IF(ROUNDDOWN(MOD($B47,businessmodel!B$22),0)=0,-businessmodel!B$7*(1+parameters!$B$13)^$B47,0)</f>
        <v>0</v>
      </c>
      <c r="D47" s="82">
        <f>IF(ROUNDDOWN(MOD($B47,businessmodel!C$22),0)=0,-businessmodel!C$7*(1+parameters!$B$13)^$B47,0)</f>
        <v>0</v>
      </c>
      <c r="E47" s="82">
        <f>IF(ROUNDDOWN(MOD($B47,businessmodel!D$22),0)=0,-businessmodel!D$7*(1+parameters!$B$13)^$B47,0)</f>
        <v>0</v>
      </c>
      <c r="F47" s="82">
        <f>IF(ROUNDDOWN(MOD($B47,businessmodel!E$22),0)=0,-businessmodel!E$7*(1+parameters!$B$13)^$B47,0)</f>
        <v>0</v>
      </c>
      <c r="G47" s="82">
        <f>IF(ROUNDDOWN(MOD($B47,businessmodel!F$22),0)=0,-businessmodel!F$7*(1+parameters!$B$13)^$B47,0)</f>
        <v>0</v>
      </c>
      <c r="H47" s="82">
        <f>IF(ROUNDDOWN(MOD($B47,businessmodel!G$22),0)=0,-businessmodel!G$7*(1+parameters!$B$13)^$B47,0)</f>
        <v>0</v>
      </c>
      <c r="I47" s="82">
        <f>IF(ROUNDDOWN(MOD($B47,businessmodel!H$22),0)=0,-businessmodel!H$7*(1+parameters!$B$13)^$B47,0)</f>
        <v>0</v>
      </c>
      <c r="J47" s="82">
        <f>IF(ROUNDDOWN(MOD($B47,businessmodel!I$22),0)=0,-businessmodel!I$7*(1+parameters!$B$13)^$B47,0)</f>
        <v>0</v>
      </c>
      <c r="K47" s="82">
        <f>IF(ROUNDDOWN(MOD($B47,businessmodel!J$22),0)=0,-businessmodel!J$7*(1+parameters!$B$13)^$B47,0)</f>
        <v>0</v>
      </c>
      <c r="L47" s="82">
        <f>IF(ROUNDDOWN(MOD($B47,businessmodel!K$22),0)=0,-businessmodel!K$7*(1+parameters!$B$13)^$B47,0)</f>
        <v>0</v>
      </c>
      <c r="M47" s="82">
        <f>IF(ROUNDDOWN(MOD($B47,businessmodel!L$22),0)=0,-businessmodel!L$7*(1+parameters!$B$13)^$B47,0)</f>
        <v>0</v>
      </c>
      <c r="N47" s="82">
        <f>IF(ROUNDDOWN(MOD($B47,businessmodel!M$22),0)=0,-businessmodel!M$7*(1+parameters!$B$13)^$B47,0)</f>
        <v>0</v>
      </c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</row>
    <row r="48" spans="1:44" ht="13.8">
      <c r="B48" s="99">
        <f t="shared" si="1"/>
        <v>4</v>
      </c>
      <c r="C48" s="82">
        <f>IF(ROUNDDOWN(MOD($B48,businessmodel!B$22),0)=0,-businessmodel!B$7*(1+parameters!$B$13)^$B48,0)</f>
        <v>0</v>
      </c>
      <c r="D48" s="82">
        <f>IF(ROUNDDOWN(MOD($B48,businessmodel!C$22),0)=0,-businessmodel!C$7*(1+parameters!$B$13)^$B48,0)</f>
        <v>0</v>
      </c>
      <c r="E48" s="82">
        <f>IF(ROUNDDOWN(MOD($B48,businessmodel!D$22),0)=0,-businessmodel!D$7*(1+parameters!$B$13)^$B48,0)</f>
        <v>0</v>
      </c>
      <c r="F48" s="82">
        <f>IF(ROUNDDOWN(MOD($B48,businessmodel!E$22),0)=0,-businessmodel!E$7*(1+parameters!$B$13)^$B48,0)</f>
        <v>0</v>
      </c>
      <c r="G48" s="82">
        <f>IF(ROUNDDOWN(MOD($B48,businessmodel!F$22),0)=0,-businessmodel!F$7*(1+parameters!$B$13)^$B48,0)</f>
        <v>0</v>
      </c>
      <c r="H48" s="82">
        <f>IF(ROUNDDOWN(MOD($B48,businessmodel!G$22),0)=0,-businessmodel!G$7*(1+parameters!$B$13)^$B48,0)</f>
        <v>0</v>
      </c>
      <c r="I48" s="82">
        <f>IF(ROUNDDOWN(MOD($B48,businessmodel!H$22),0)=0,-businessmodel!H$7*(1+parameters!$B$13)^$B48,0)</f>
        <v>0</v>
      </c>
      <c r="J48" s="82">
        <f>IF(ROUNDDOWN(MOD($B48,businessmodel!I$22),0)=0,-businessmodel!I$7*(1+parameters!$B$13)^$B48,0)</f>
        <v>0</v>
      </c>
      <c r="K48" s="82">
        <f>IF(ROUNDDOWN(MOD($B48,businessmodel!J$22),0)=0,-businessmodel!J$7*(1+parameters!$B$13)^$B48,0)</f>
        <v>0</v>
      </c>
      <c r="L48" s="82">
        <f>IF(ROUNDDOWN(MOD($B48,businessmodel!K$22),0)=0,-businessmodel!K$7*(1+parameters!$B$13)^$B48,0)</f>
        <v>0</v>
      </c>
      <c r="M48" s="82">
        <f>IF(ROUNDDOWN(MOD($B48,businessmodel!L$22),0)=0,-businessmodel!L$7*(1+parameters!$B$13)^$B48,0)</f>
        <v>0</v>
      </c>
      <c r="N48" s="82">
        <f>IF(ROUNDDOWN(MOD($B48,businessmodel!M$22),0)=0,-businessmodel!M$7*(1+parameters!$B$13)^$B48,0)</f>
        <v>0</v>
      </c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</row>
    <row r="49" spans="2:44" ht="13.8">
      <c r="B49" s="99">
        <f t="shared" si="1"/>
        <v>5</v>
      </c>
      <c r="C49" s="82">
        <f>IF(ROUNDDOWN(MOD($B49,businessmodel!B$22),0)=0,-businessmodel!B$7*(1+parameters!$B$13)^$B49,0)</f>
        <v>0</v>
      </c>
      <c r="D49" s="82">
        <f>IF(ROUNDDOWN(MOD($B49,businessmodel!C$22),0)=0,-businessmodel!C$7*(1+parameters!$B$13)^$B49,0)</f>
        <v>0</v>
      </c>
      <c r="E49" s="82">
        <f>IF(ROUNDDOWN(MOD($B49,businessmodel!D$22),0)=0,-businessmodel!D$7*(1+parameters!$B$13)^$B49,0)</f>
        <v>0</v>
      </c>
      <c r="F49" s="82">
        <f>IF(ROUNDDOWN(MOD($B49,businessmodel!E$22),0)=0,-businessmodel!E$7*(1+parameters!$B$13)^$B49,0)</f>
        <v>0</v>
      </c>
      <c r="G49" s="82">
        <f>IF(ROUNDDOWN(MOD($B49,businessmodel!F$22),0)=0,-businessmodel!F$7*(1+parameters!$B$13)^$B49,0)</f>
        <v>0</v>
      </c>
      <c r="H49" s="82">
        <f>IF(ROUNDDOWN(MOD($B49,businessmodel!G$22),0)=0,-businessmodel!G$7*(1+parameters!$B$13)^$B49,0)</f>
        <v>0</v>
      </c>
      <c r="I49" s="82">
        <f>IF(ROUNDDOWN(MOD($B49,businessmodel!H$22),0)=0,-businessmodel!H$7*(1+parameters!$B$13)^$B49,0)</f>
        <v>0</v>
      </c>
      <c r="J49" s="82">
        <f>IF(ROUNDDOWN(MOD($B49,businessmodel!I$22),0)=0,-businessmodel!I$7*(1+parameters!$B$13)^$B49,0)</f>
        <v>0</v>
      </c>
      <c r="K49" s="82">
        <f>IF(ROUNDDOWN(MOD($B49,businessmodel!J$22),0)=0,-businessmodel!J$7*(1+parameters!$B$13)^$B49,0)</f>
        <v>0</v>
      </c>
      <c r="L49" s="82">
        <f>IF(ROUNDDOWN(MOD($B49,businessmodel!K$22),0)=0,-businessmodel!K$7*(1+parameters!$B$13)^$B49,0)</f>
        <v>0</v>
      </c>
      <c r="M49" s="82">
        <f>IF(ROUNDDOWN(MOD($B49,businessmodel!L$22),0)=0,-businessmodel!L$7*(1+parameters!$B$13)^$B49,0)</f>
        <v>0</v>
      </c>
      <c r="N49" s="82">
        <f>IF(ROUNDDOWN(MOD($B49,businessmodel!M$22),0)=0,-businessmodel!M$7*(1+parameters!$B$13)^$B49,0)</f>
        <v>0</v>
      </c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</row>
    <row r="50" spans="2:44" ht="13.8">
      <c r="B50" s="99">
        <f t="shared" si="1"/>
        <v>6</v>
      </c>
      <c r="C50" s="82">
        <f>IF(ROUNDDOWN(MOD($B50,businessmodel!B$22),0)=0,-businessmodel!B$7*(1+parameters!$B$13)^$B50,0)</f>
        <v>0</v>
      </c>
      <c r="D50" s="82">
        <f>IF(ROUNDDOWN(MOD($B50,businessmodel!C$22),0)=0,-businessmodel!C$7*(1+parameters!$B$13)^$B50,0)</f>
        <v>0</v>
      </c>
      <c r="E50" s="82">
        <f>IF(ROUNDDOWN(MOD($B50,businessmodel!D$22),0)=0,-businessmodel!D$7*(1+parameters!$B$13)^$B50,0)</f>
        <v>0</v>
      </c>
      <c r="F50" s="82">
        <f>IF(ROUNDDOWN(MOD($B50,businessmodel!E$22),0)=0,-businessmodel!E$7*(1+parameters!$B$13)^$B50,0)</f>
        <v>0</v>
      </c>
      <c r="G50" s="82">
        <f>IF(ROUNDDOWN(MOD($B50,businessmodel!F$22),0)=0,-businessmodel!F$7*(1+parameters!$B$13)^$B50,0)</f>
        <v>0</v>
      </c>
      <c r="H50" s="82">
        <f>IF(ROUNDDOWN(MOD($B50,businessmodel!G$22),0)=0,-businessmodel!G$7*(1+parameters!$B$13)^$B50,0)</f>
        <v>0</v>
      </c>
      <c r="I50" s="82">
        <f>IF(ROUNDDOWN(MOD($B50,businessmodel!H$22),0)=0,-businessmodel!H$7*(1+parameters!$B$13)^$B50,0)</f>
        <v>0</v>
      </c>
      <c r="J50" s="82">
        <f>IF(ROUNDDOWN(MOD($B50,businessmodel!I$22),0)=0,-businessmodel!I$7*(1+parameters!$B$13)^$B50,0)</f>
        <v>0</v>
      </c>
      <c r="K50" s="82">
        <f>IF(ROUNDDOWN(MOD($B50,businessmodel!J$22),0)=0,-businessmodel!J$7*(1+parameters!$B$13)^$B50,0)</f>
        <v>0</v>
      </c>
      <c r="L50" s="82">
        <f>IF(ROUNDDOWN(MOD($B50,businessmodel!K$22),0)=0,-businessmodel!K$7*(1+parameters!$B$13)^$B50,0)</f>
        <v>0</v>
      </c>
      <c r="M50" s="82">
        <f>IF(ROUNDDOWN(MOD($B50,businessmodel!L$22),0)=0,-businessmodel!L$7*(1+parameters!$B$13)^$B50,0)</f>
        <v>0</v>
      </c>
      <c r="N50" s="82">
        <f>IF(ROUNDDOWN(MOD($B50,businessmodel!M$22),0)=0,-businessmodel!M$7*(1+parameters!$B$13)^$B50,0)</f>
        <v>0</v>
      </c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</row>
    <row r="51" spans="2:44" ht="13.8">
      <c r="B51" s="99">
        <f t="shared" si="1"/>
        <v>7</v>
      </c>
      <c r="C51" s="82">
        <f>IF(ROUNDDOWN(MOD($B51,businessmodel!B$22),0)=0,-businessmodel!B$7*(1+parameters!$B$13)^$B51,0)</f>
        <v>0</v>
      </c>
      <c r="D51" s="82">
        <f>IF(ROUNDDOWN(MOD($B51,businessmodel!C$22),0)=0,-businessmodel!C$7*(1+parameters!$B$13)^$B51,0)</f>
        <v>0</v>
      </c>
      <c r="E51" s="82">
        <f>IF(ROUNDDOWN(MOD($B51,businessmodel!D$22),0)=0,-businessmodel!D$7*(1+parameters!$B$13)^$B51,0)</f>
        <v>0</v>
      </c>
      <c r="F51" s="82">
        <f>IF(ROUNDDOWN(MOD($B51,businessmodel!E$22),0)=0,-businessmodel!E$7*(1+parameters!$B$13)^$B51,0)</f>
        <v>0</v>
      </c>
      <c r="G51" s="82">
        <f>IF(ROUNDDOWN(MOD($B51,businessmodel!F$22),0)=0,-businessmodel!F$7*(1+parameters!$B$13)^$B51,0)</f>
        <v>0</v>
      </c>
      <c r="H51" s="82">
        <f>IF(ROUNDDOWN(MOD($B51,businessmodel!G$22),0)=0,-businessmodel!G$7*(1+parameters!$B$13)^$B51,0)</f>
        <v>0</v>
      </c>
      <c r="I51" s="82">
        <f>IF(ROUNDDOWN(MOD($B51,businessmodel!H$22),0)=0,-businessmodel!H$7*(1+parameters!$B$13)^$B51,0)</f>
        <v>0</v>
      </c>
      <c r="J51" s="82">
        <f>IF(ROUNDDOWN(MOD($B51,businessmodel!I$22),0)=0,-businessmodel!I$7*(1+parameters!$B$13)^$B51,0)</f>
        <v>0</v>
      </c>
      <c r="K51" s="82">
        <f>IF(ROUNDDOWN(MOD($B51,businessmodel!J$22),0)=0,-businessmodel!J$7*(1+parameters!$B$13)^$B51,0)</f>
        <v>0</v>
      </c>
      <c r="L51" s="82">
        <f>IF(ROUNDDOWN(MOD($B51,businessmodel!K$22),0)=0,-businessmodel!K$7*(1+parameters!$B$13)^$B51,0)</f>
        <v>0</v>
      </c>
      <c r="M51" s="82">
        <f>IF(ROUNDDOWN(MOD($B51,businessmodel!L$22),0)=0,-businessmodel!L$7*(1+parameters!$B$13)^$B51,0)</f>
        <v>0</v>
      </c>
      <c r="N51" s="82">
        <f>IF(ROUNDDOWN(MOD($B51,businessmodel!M$22),0)=0,-businessmodel!M$7*(1+parameters!$B$13)^$B51,0)</f>
        <v>0</v>
      </c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</row>
    <row r="52" spans="2:44" ht="13.8">
      <c r="B52" s="99">
        <f t="shared" si="1"/>
        <v>8</v>
      </c>
      <c r="C52" s="82">
        <f>IF(ROUNDDOWN(MOD($B52,businessmodel!B$22),0)=0,-businessmodel!B$7*(1+parameters!$B$13)^$B52,0)</f>
        <v>0</v>
      </c>
      <c r="D52" s="82">
        <f>IF(ROUNDDOWN(MOD($B52,businessmodel!C$22),0)=0,-businessmodel!C$7*(1+parameters!$B$13)^$B52,0)</f>
        <v>0</v>
      </c>
      <c r="E52" s="82">
        <f>IF(ROUNDDOWN(MOD($B52,businessmodel!D$22),0)=0,-businessmodel!D$7*(1+parameters!$B$13)^$B52,0)</f>
        <v>0</v>
      </c>
      <c r="F52" s="82">
        <f>IF(ROUNDDOWN(MOD($B52,businessmodel!E$22),0)=0,-businessmodel!E$7*(1+parameters!$B$13)^$B52,0)</f>
        <v>0</v>
      </c>
      <c r="G52" s="82">
        <f>IF(ROUNDDOWN(MOD($B52,businessmodel!F$22),0)=0,-businessmodel!F$7*(1+parameters!$B$13)^$B52,0)</f>
        <v>0</v>
      </c>
      <c r="H52" s="82">
        <f>IF(ROUNDDOWN(MOD($B52,businessmodel!G$22),0)=0,-businessmodel!G$7*(1+parameters!$B$13)^$B52,0)</f>
        <v>0</v>
      </c>
      <c r="I52" s="82">
        <f>IF(ROUNDDOWN(MOD($B52,businessmodel!H$22),0)=0,-businessmodel!H$7*(1+parameters!$B$13)^$B52,0)</f>
        <v>0</v>
      </c>
      <c r="J52" s="82">
        <f>IF(ROUNDDOWN(MOD($B52,businessmodel!I$22),0)=0,-businessmodel!I$7*(1+parameters!$B$13)^$B52,0)</f>
        <v>0</v>
      </c>
      <c r="K52" s="82">
        <f>IF(ROUNDDOWN(MOD($B52,businessmodel!J$22),0)=0,-businessmodel!J$7*(1+parameters!$B$13)^$B52,0)</f>
        <v>0</v>
      </c>
      <c r="L52" s="82">
        <f>IF(ROUNDDOWN(MOD($B52,businessmodel!K$22),0)=0,-businessmodel!K$7*(1+parameters!$B$13)^$B52,0)</f>
        <v>0</v>
      </c>
      <c r="M52" s="82">
        <f>IF(ROUNDDOWN(MOD($B52,businessmodel!L$22),0)=0,-businessmodel!L$7*(1+parameters!$B$13)^$B52,0)</f>
        <v>0</v>
      </c>
      <c r="N52" s="82">
        <f>IF(ROUNDDOWN(MOD($B52,businessmodel!M$22),0)=0,-businessmodel!M$7*(1+parameters!$B$13)^$B52,0)</f>
        <v>0</v>
      </c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</row>
    <row r="53" spans="2:44" ht="13.8">
      <c r="B53" s="99">
        <f t="shared" si="1"/>
        <v>9</v>
      </c>
      <c r="C53" s="82">
        <f>IF(ROUNDDOWN(MOD($B53,businessmodel!B$22),0)=0,-businessmodel!B$7*(1+parameters!$B$13)^$B53,0)</f>
        <v>0</v>
      </c>
      <c r="D53" s="82">
        <f>IF(ROUNDDOWN(MOD($B53,businessmodel!C$22),0)=0,-businessmodel!C$7*(1+parameters!$B$13)^$B53,0)</f>
        <v>0</v>
      </c>
      <c r="E53" s="82">
        <f>IF(ROUNDDOWN(MOD($B53,businessmodel!D$22),0)=0,-businessmodel!D$7*(1+parameters!$B$13)^$B53,0)</f>
        <v>0</v>
      </c>
      <c r="F53" s="82">
        <f>IF(ROUNDDOWN(MOD($B53,businessmodel!E$22),0)=0,-businessmodel!E$7*(1+parameters!$B$13)^$B53,0)</f>
        <v>0</v>
      </c>
      <c r="G53" s="82">
        <f>IF(ROUNDDOWN(MOD($B53,businessmodel!F$22),0)=0,-businessmodel!F$7*(1+parameters!$B$13)^$B53,0)</f>
        <v>0</v>
      </c>
      <c r="H53" s="82">
        <f>IF(ROUNDDOWN(MOD($B53,businessmodel!G$22),0)=0,-businessmodel!G$7*(1+parameters!$B$13)^$B53,0)</f>
        <v>0</v>
      </c>
      <c r="I53" s="82">
        <f>IF(ROUNDDOWN(MOD($B53,businessmodel!H$22),0)=0,-businessmodel!H$7*(1+parameters!$B$13)^$B53,0)</f>
        <v>0</v>
      </c>
      <c r="J53" s="82">
        <f>IF(ROUNDDOWN(MOD($B53,businessmodel!I$22),0)=0,-businessmodel!I$7*(1+parameters!$B$13)^$B53,0)</f>
        <v>0</v>
      </c>
      <c r="K53" s="82">
        <f>IF(ROUNDDOWN(MOD($B53,businessmodel!J$22),0)=0,-businessmodel!J$7*(1+parameters!$B$13)^$B53,0)</f>
        <v>0</v>
      </c>
      <c r="L53" s="82">
        <f>IF(ROUNDDOWN(MOD($B53,businessmodel!K$22),0)=0,-businessmodel!K$7*(1+parameters!$B$13)^$B53,0)</f>
        <v>0</v>
      </c>
      <c r="M53" s="82">
        <f>IF(ROUNDDOWN(MOD($B53,businessmodel!L$22),0)=0,-businessmodel!L$7*(1+parameters!$B$13)^$B53,0)</f>
        <v>0</v>
      </c>
      <c r="N53" s="82">
        <f>IF(ROUNDDOWN(MOD($B53,businessmodel!M$22),0)=0,-businessmodel!M$7*(1+parameters!$B$13)^$B53,0)</f>
        <v>0</v>
      </c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</row>
    <row r="54" spans="2:44" ht="13.8">
      <c r="B54" s="99">
        <f t="shared" si="1"/>
        <v>10</v>
      </c>
      <c r="C54" s="82">
        <f>IF(ROUNDDOWN(MOD($B54,businessmodel!B$22),0)=0,-businessmodel!B$7*(1+parameters!$B$13)^$B54,0)</f>
        <v>0</v>
      </c>
      <c r="D54" s="82">
        <f>IF(ROUNDDOWN(MOD($B54,businessmodel!C$22),0)=0,-businessmodel!C$7*(1+parameters!$B$13)^$B54,0)</f>
        <v>0</v>
      </c>
      <c r="E54" s="82">
        <f>IF(ROUNDDOWN(MOD($B54,businessmodel!D$22),0)=0,-businessmodel!D$7*(1+parameters!$B$13)^$B54,0)</f>
        <v>0</v>
      </c>
      <c r="F54" s="82">
        <f>IF(ROUNDDOWN(MOD($B54,businessmodel!E$22),0)=0,-businessmodel!E$7*(1+parameters!$B$13)^$B54,0)</f>
        <v>0</v>
      </c>
      <c r="G54" s="82">
        <f>IF(ROUNDDOWN(MOD($B54,businessmodel!F$22),0)=0,-businessmodel!F$7*(1+parameters!$B$13)^$B54,0)</f>
        <v>0</v>
      </c>
      <c r="H54" s="82">
        <f>IF(ROUNDDOWN(MOD($B54,businessmodel!G$22),0)=0,-businessmodel!G$7*(1+parameters!$B$13)^$B54,0)</f>
        <v>0</v>
      </c>
      <c r="I54" s="82">
        <f>IF(ROUNDDOWN(MOD($B54,businessmodel!H$22),0)=0,-businessmodel!H$7*(1+parameters!$B$13)^$B54,0)</f>
        <v>0</v>
      </c>
      <c r="J54" s="82">
        <f>IF(ROUNDDOWN(MOD($B54,businessmodel!I$22),0)=0,-businessmodel!I$7*(1+parameters!$B$13)^$B54,0)</f>
        <v>0</v>
      </c>
      <c r="K54" s="82">
        <f>IF(ROUNDDOWN(MOD($B54,businessmodel!J$22),0)=0,-businessmodel!J$7*(1+parameters!$B$13)^$B54,0)</f>
        <v>0</v>
      </c>
      <c r="L54" s="82">
        <f>IF(ROUNDDOWN(MOD($B54,businessmodel!K$22),0)=0,-businessmodel!K$7*(1+parameters!$B$13)^$B54,0)</f>
        <v>0</v>
      </c>
      <c r="M54" s="82">
        <f>IF(ROUNDDOWN(MOD($B54,businessmodel!L$22),0)=0,-businessmodel!L$7*(1+parameters!$B$13)^$B54,0)</f>
        <v>0</v>
      </c>
      <c r="N54" s="82">
        <f>IF(ROUNDDOWN(MOD($B54,businessmodel!M$22),0)=0,-businessmodel!M$7*(1+parameters!$B$13)^$B54,0)</f>
        <v>0</v>
      </c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</row>
    <row r="55" spans="2:44" ht="13.8">
      <c r="B55" s="99">
        <f t="shared" si="1"/>
        <v>11</v>
      </c>
      <c r="C55" s="82">
        <f>IF(ROUNDDOWN(MOD($B55,businessmodel!B$22),0)=0,-businessmodel!B$7*(1+parameters!$B$13)^$B55,0)</f>
        <v>0</v>
      </c>
      <c r="D55" s="82">
        <f>IF(ROUNDDOWN(MOD($B55,businessmodel!C$22),0)=0,-businessmodel!C$7*(1+parameters!$B$13)^$B55,0)</f>
        <v>0</v>
      </c>
      <c r="E55" s="82">
        <f>IF(ROUNDDOWN(MOD($B55,businessmodel!D$22),0)=0,-businessmodel!D$7*(1+parameters!$B$13)^$B55,0)</f>
        <v>0</v>
      </c>
      <c r="F55" s="82">
        <f>IF(ROUNDDOWN(MOD($B55,businessmodel!E$22),0)=0,-businessmodel!E$7*(1+parameters!$B$13)^$B55,0)</f>
        <v>0</v>
      </c>
      <c r="G55" s="82">
        <f>IF(ROUNDDOWN(MOD($B55,businessmodel!F$22),0)=0,-businessmodel!F$7*(1+parameters!$B$13)^$B55,0)</f>
        <v>0</v>
      </c>
      <c r="H55" s="82">
        <f>IF(ROUNDDOWN(MOD($B55,businessmodel!G$22),0)=0,-businessmodel!G$7*(1+parameters!$B$13)^$B55,0)</f>
        <v>0</v>
      </c>
      <c r="I55" s="82">
        <f>IF(ROUNDDOWN(MOD($B55,businessmodel!H$22),0)=0,-businessmodel!H$7*(1+parameters!$B$13)^$B55,0)</f>
        <v>0</v>
      </c>
      <c r="J55" s="82">
        <f>IF(ROUNDDOWN(MOD($B55,businessmodel!I$22),0)=0,-businessmodel!I$7*(1+parameters!$B$13)^$B55,0)</f>
        <v>0</v>
      </c>
      <c r="K55" s="82">
        <f>IF(ROUNDDOWN(MOD($B55,businessmodel!J$22),0)=0,-businessmodel!J$7*(1+parameters!$B$13)^$B55,0)</f>
        <v>0</v>
      </c>
      <c r="L55" s="82">
        <f>IF(ROUNDDOWN(MOD($B55,businessmodel!K$22),0)=0,-businessmodel!K$7*(1+parameters!$B$13)^$B55,0)</f>
        <v>0</v>
      </c>
      <c r="M55" s="82">
        <f>IF(ROUNDDOWN(MOD($B55,businessmodel!L$22),0)=0,-businessmodel!L$7*(1+parameters!$B$13)^$B55,0)</f>
        <v>0</v>
      </c>
      <c r="N55" s="82">
        <f>IF(ROUNDDOWN(MOD($B55,businessmodel!M$22),0)=0,-businessmodel!M$7*(1+parameters!$B$13)^$B55,0)</f>
        <v>0</v>
      </c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</row>
    <row r="56" spans="2:44" ht="13.8">
      <c r="B56" s="99">
        <f t="shared" si="1"/>
        <v>12</v>
      </c>
      <c r="C56" s="82">
        <f>IF(ROUNDDOWN(MOD($B56,businessmodel!B$22),0)=0,-businessmodel!B$7*(1+parameters!$B$13)^$B56,0)</f>
        <v>-300</v>
      </c>
      <c r="D56" s="82">
        <f>IF(ROUNDDOWN(MOD($B56,businessmodel!C$22),0)=0,-businessmodel!C$7*(1+parameters!$B$13)^$B56,0)</f>
        <v>-600</v>
      </c>
      <c r="E56" s="82">
        <f>IF(ROUNDDOWN(MOD($B56,businessmodel!D$22),0)=0,-businessmodel!D$7*(1+parameters!$B$13)^$B56,0)</f>
        <v>0</v>
      </c>
      <c r="F56" s="82">
        <f>IF(ROUNDDOWN(MOD($B56,businessmodel!E$22),0)=0,-businessmodel!E$7*(1+parameters!$B$13)^$B56,0)</f>
        <v>0</v>
      </c>
      <c r="G56" s="82">
        <f>IF(ROUNDDOWN(MOD($B56,businessmodel!F$22),0)=0,-businessmodel!F$7*(1+parameters!$B$13)^$B56,0)</f>
        <v>0</v>
      </c>
      <c r="H56" s="82">
        <f>IF(ROUNDDOWN(MOD($B56,businessmodel!G$22),0)=0,-businessmodel!G$7*(1+parameters!$B$13)^$B56,0)</f>
        <v>0</v>
      </c>
      <c r="I56" s="82">
        <f>IF(ROUNDDOWN(MOD($B56,businessmodel!H$22),0)=0,-businessmodel!H$7*(1+parameters!$B$13)^$B56,0)</f>
        <v>0</v>
      </c>
      <c r="J56" s="82">
        <f>IF(ROUNDDOWN(MOD($B56,businessmodel!I$22),0)=0,-businessmodel!I$7*(1+parameters!$B$13)^$B56,0)</f>
        <v>0</v>
      </c>
      <c r="K56" s="82">
        <f>IF(ROUNDDOWN(MOD($B56,businessmodel!J$22),0)=0,-businessmodel!J$7*(1+parameters!$B$13)^$B56,0)</f>
        <v>0</v>
      </c>
      <c r="L56" s="82">
        <f>IF(ROUNDDOWN(MOD($B56,businessmodel!K$22),0)=0,-businessmodel!K$7*(1+parameters!$B$13)^$B56,0)</f>
        <v>0</v>
      </c>
      <c r="M56" s="82">
        <f>IF(ROUNDDOWN(MOD($B56,businessmodel!L$22),0)=0,-businessmodel!L$7*(1+parameters!$B$13)^$B56,0)</f>
        <v>0</v>
      </c>
      <c r="N56" s="82">
        <f>IF(ROUNDDOWN(MOD($B56,businessmodel!M$22),0)=0,-businessmodel!M$7*(1+parameters!$B$13)^$B56,0)</f>
        <v>0</v>
      </c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</row>
    <row r="57" spans="2:44" ht="13.8">
      <c r="B57" s="99">
        <f t="shared" si="1"/>
        <v>13</v>
      </c>
      <c r="C57" s="82">
        <f>IF(ROUNDDOWN(MOD($B57,businessmodel!B$22),0)=0,-businessmodel!B$7*(1+parameters!$B$13)^$B57,0)</f>
        <v>0</v>
      </c>
      <c r="D57" s="82">
        <f>IF(ROUNDDOWN(MOD($B57,businessmodel!C$22),0)=0,-businessmodel!C$7*(1+parameters!$B$13)^$B57,0)</f>
        <v>0</v>
      </c>
      <c r="E57" s="82">
        <f>IF(ROUNDDOWN(MOD($B57,businessmodel!D$22),0)=0,-businessmodel!D$7*(1+parameters!$B$13)^$B57,0)</f>
        <v>0</v>
      </c>
      <c r="F57" s="82">
        <f>IF(ROUNDDOWN(MOD($B57,businessmodel!E$22),0)=0,-businessmodel!E$7*(1+parameters!$B$13)^$B57,0)</f>
        <v>0</v>
      </c>
      <c r="G57" s="82">
        <f>IF(ROUNDDOWN(MOD($B57,businessmodel!F$22),0)=0,-businessmodel!F$7*(1+parameters!$B$13)^$B57,0)</f>
        <v>0</v>
      </c>
      <c r="H57" s="82">
        <f>IF(ROUNDDOWN(MOD($B57,businessmodel!G$22),0)=0,-businessmodel!G$7*(1+parameters!$B$13)^$B57,0)</f>
        <v>0</v>
      </c>
      <c r="I57" s="82">
        <f>IF(ROUNDDOWN(MOD($B57,businessmodel!H$22),0)=0,-businessmodel!H$7*(1+parameters!$B$13)^$B57,0)</f>
        <v>0</v>
      </c>
      <c r="J57" s="82">
        <f>IF(ROUNDDOWN(MOD($B57,businessmodel!I$22),0)=0,-businessmodel!I$7*(1+parameters!$B$13)^$B57,0)</f>
        <v>0</v>
      </c>
      <c r="K57" s="82">
        <f>IF(ROUNDDOWN(MOD($B57,businessmodel!J$22),0)=0,-businessmodel!J$7*(1+parameters!$B$13)^$B57,0)</f>
        <v>0</v>
      </c>
      <c r="L57" s="82">
        <f>IF(ROUNDDOWN(MOD($B57,businessmodel!K$22),0)=0,-businessmodel!K$7*(1+parameters!$B$13)^$B57,0)</f>
        <v>0</v>
      </c>
      <c r="M57" s="82">
        <f>IF(ROUNDDOWN(MOD($B57,businessmodel!L$22),0)=0,-businessmodel!L$7*(1+parameters!$B$13)^$B57,0)</f>
        <v>0</v>
      </c>
      <c r="N57" s="82">
        <f>IF(ROUNDDOWN(MOD($B57,businessmodel!M$22),0)=0,-businessmodel!M$7*(1+parameters!$B$13)^$B57,0)</f>
        <v>0</v>
      </c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</row>
    <row r="58" spans="2:44" ht="13.8">
      <c r="B58" s="99">
        <f t="shared" si="1"/>
        <v>14</v>
      </c>
      <c r="C58" s="82">
        <f>IF(ROUNDDOWN(MOD($B58,businessmodel!B$22),0)=0,-businessmodel!B$7*(1+parameters!$B$13)^$B58,0)</f>
        <v>0</v>
      </c>
      <c r="D58" s="82">
        <f>IF(ROUNDDOWN(MOD($B58,businessmodel!C$22),0)=0,-businessmodel!C$7*(1+parameters!$B$13)^$B58,0)</f>
        <v>0</v>
      </c>
      <c r="E58" s="82">
        <f>IF(ROUNDDOWN(MOD($B58,businessmodel!D$22),0)=0,-businessmodel!D$7*(1+parameters!$B$13)^$B58,0)</f>
        <v>-200</v>
      </c>
      <c r="F58" s="82">
        <f>IF(ROUNDDOWN(MOD($B58,businessmodel!E$22),0)=0,-businessmodel!E$7*(1+parameters!$B$13)^$B58,0)</f>
        <v>0</v>
      </c>
      <c r="G58" s="82">
        <f>IF(ROUNDDOWN(MOD($B58,businessmodel!F$22),0)=0,-businessmodel!F$7*(1+parameters!$B$13)^$B58,0)</f>
        <v>0</v>
      </c>
      <c r="H58" s="82">
        <f>IF(ROUNDDOWN(MOD($B58,businessmodel!G$22),0)=0,-businessmodel!G$7*(1+parameters!$B$13)^$B58,0)</f>
        <v>0</v>
      </c>
      <c r="I58" s="82">
        <f>IF(ROUNDDOWN(MOD($B58,businessmodel!H$22),0)=0,-businessmodel!H$7*(1+parameters!$B$13)^$B58,0)</f>
        <v>0</v>
      </c>
      <c r="J58" s="82">
        <f>IF(ROUNDDOWN(MOD($B58,businessmodel!I$22),0)=0,-businessmodel!I$7*(1+parameters!$B$13)^$B58,0)</f>
        <v>0</v>
      </c>
      <c r="K58" s="82">
        <f>IF(ROUNDDOWN(MOD($B58,businessmodel!J$22),0)=0,-businessmodel!J$7*(1+parameters!$B$13)^$B58,0)</f>
        <v>0</v>
      </c>
      <c r="L58" s="82">
        <f>IF(ROUNDDOWN(MOD($B58,businessmodel!K$22),0)=0,-businessmodel!K$7*(1+parameters!$B$13)^$B58,0)</f>
        <v>0</v>
      </c>
      <c r="M58" s="82">
        <f>IF(ROUNDDOWN(MOD($B58,businessmodel!L$22),0)=0,-businessmodel!L$7*(1+parameters!$B$13)^$B58,0)</f>
        <v>0</v>
      </c>
      <c r="N58" s="82">
        <f>IF(ROUNDDOWN(MOD($B58,businessmodel!M$22),0)=0,-businessmodel!M$7*(1+parameters!$B$13)^$B58,0)</f>
        <v>0</v>
      </c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</row>
    <row r="59" spans="2:44" ht="13.8">
      <c r="B59" s="99">
        <f t="shared" si="1"/>
        <v>15</v>
      </c>
      <c r="C59" s="82">
        <f>IF(ROUNDDOWN(MOD($B59,businessmodel!B$22),0)=0,-businessmodel!B$7*(1+parameters!$B$13)^$B59,0)</f>
        <v>0</v>
      </c>
      <c r="D59" s="82">
        <f>IF(ROUNDDOWN(MOD($B59,businessmodel!C$22),0)=0,-businessmodel!C$7*(1+parameters!$B$13)^$B59,0)</f>
        <v>0</v>
      </c>
      <c r="E59" s="82">
        <f>IF(ROUNDDOWN(MOD($B59,businessmodel!D$22),0)=0,-businessmodel!D$7*(1+parameters!$B$13)^$B59,0)</f>
        <v>0</v>
      </c>
      <c r="F59" s="82">
        <f>IF(ROUNDDOWN(MOD($B59,businessmodel!E$22),0)=0,-businessmodel!E$7*(1+parameters!$B$13)^$B59,0)</f>
        <v>0</v>
      </c>
      <c r="G59" s="82">
        <f>IF(ROUNDDOWN(MOD($B59,businessmodel!F$22),0)=0,-businessmodel!F$7*(1+parameters!$B$13)^$B59,0)</f>
        <v>0</v>
      </c>
      <c r="H59" s="82">
        <f>IF(ROUNDDOWN(MOD($B59,businessmodel!G$22),0)=0,-businessmodel!G$7*(1+parameters!$B$13)^$B59,0)</f>
        <v>0</v>
      </c>
      <c r="I59" s="82">
        <f>IF(ROUNDDOWN(MOD($B59,businessmodel!H$22),0)=0,-businessmodel!H$7*(1+parameters!$B$13)^$B59,0)</f>
        <v>0</v>
      </c>
      <c r="J59" s="82">
        <f>IF(ROUNDDOWN(MOD($B59,businessmodel!I$22),0)=0,-businessmodel!I$7*(1+parameters!$B$13)^$B59,0)</f>
        <v>0</v>
      </c>
      <c r="K59" s="82">
        <f>IF(ROUNDDOWN(MOD($B59,businessmodel!J$22),0)=0,-businessmodel!J$7*(1+parameters!$B$13)^$B59,0)</f>
        <v>0</v>
      </c>
      <c r="L59" s="82">
        <f>IF(ROUNDDOWN(MOD($B59,businessmodel!K$22),0)=0,-businessmodel!K$7*(1+parameters!$B$13)^$B59,0)</f>
        <v>0</v>
      </c>
      <c r="M59" s="82">
        <f>IF(ROUNDDOWN(MOD($B59,businessmodel!L$22),0)=0,-businessmodel!L$7*(1+parameters!$B$13)^$B59,0)</f>
        <v>0</v>
      </c>
      <c r="N59" s="82">
        <f>IF(ROUNDDOWN(MOD($B59,businessmodel!M$22),0)=0,-businessmodel!M$7*(1+parameters!$B$13)^$B59,0)</f>
        <v>0</v>
      </c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</row>
    <row r="60" spans="2:44" ht="13.8">
      <c r="B60" s="99">
        <f t="shared" si="1"/>
        <v>16</v>
      </c>
      <c r="C60" s="82">
        <f>IF(ROUNDDOWN(MOD($B60,businessmodel!B$22),0)=0,-businessmodel!B$7*(1+parameters!$B$13)^$B60,0)</f>
        <v>0</v>
      </c>
      <c r="D60" s="82">
        <f>IF(ROUNDDOWN(MOD($B60,businessmodel!C$22),0)=0,-businessmodel!C$7*(1+parameters!$B$13)^$B60,0)</f>
        <v>0</v>
      </c>
      <c r="E60" s="82">
        <f>IF(ROUNDDOWN(MOD($B60,businessmodel!D$22),0)=0,-businessmodel!D$7*(1+parameters!$B$13)^$B60,0)</f>
        <v>0</v>
      </c>
      <c r="F60" s="82">
        <f>IF(ROUNDDOWN(MOD($B60,businessmodel!E$22),0)=0,-businessmodel!E$7*(1+parameters!$B$13)^$B60,0)</f>
        <v>0</v>
      </c>
      <c r="G60" s="82">
        <f>IF(ROUNDDOWN(MOD($B60,businessmodel!F$22),0)=0,-businessmodel!F$7*(1+parameters!$B$13)^$B60,0)</f>
        <v>0</v>
      </c>
      <c r="H60" s="82">
        <f>IF(ROUNDDOWN(MOD($B60,businessmodel!G$22),0)=0,-businessmodel!G$7*(1+parameters!$B$13)^$B60,0)</f>
        <v>0</v>
      </c>
      <c r="I60" s="82">
        <f>IF(ROUNDDOWN(MOD($B60,businessmodel!H$22),0)=0,-businessmodel!H$7*(1+parameters!$B$13)^$B60,0)</f>
        <v>0</v>
      </c>
      <c r="J60" s="82">
        <f>IF(ROUNDDOWN(MOD($B60,businessmodel!I$22),0)=0,-businessmodel!I$7*(1+parameters!$B$13)^$B60,0)</f>
        <v>0</v>
      </c>
      <c r="K60" s="82">
        <f>IF(ROUNDDOWN(MOD($B60,businessmodel!J$22),0)=0,-businessmodel!J$7*(1+parameters!$B$13)^$B60,0)</f>
        <v>0</v>
      </c>
      <c r="L60" s="82">
        <f>IF(ROUNDDOWN(MOD($B60,businessmodel!K$22),0)=0,-businessmodel!K$7*(1+parameters!$B$13)^$B60,0)</f>
        <v>0</v>
      </c>
      <c r="M60" s="82">
        <f>IF(ROUNDDOWN(MOD($B60,businessmodel!L$22),0)=0,-businessmodel!L$7*(1+parameters!$B$13)^$B60,0)</f>
        <v>0</v>
      </c>
      <c r="N60" s="82">
        <f>IF(ROUNDDOWN(MOD($B60,businessmodel!M$22),0)=0,-businessmodel!M$7*(1+parameters!$B$13)^$B60,0)</f>
        <v>0</v>
      </c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</row>
    <row r="61" spans="2:44" ht="13.8">
      <c r="B61" s="99">
        <f t="shared" si="1"/>
        <v>17</v>
      </c>
      <c r="C61" s="82">
        <f>IF(ROUNDDOWN(MOD($B61,businessmodel!B$22),0)=0,-businessmodel!B$7*(1+parameters!$B$13)^$B61,0)</f>
        <v>0</v>
      </c>
      <c r="D61" s="82">
        <f>IF(ROUNDDOWN(MOD($B61,businessmodel!C$22),0)=0,-businessmodel!C$7*(1+parameters!$B$13)^$B61,0)</f>
        <v>0</v>
      </c>
      <c r="E61" s="82">
        <f>IF(ROUNDDOWN(MOD($B61,businessmodel!D$22),0)=0,-businessmodel!D$7*(1+parameters!$B$13)^$B61,0)</f>
        <v>0</v>
      </c>
      <c r="F61" s="82">
        <f>IF(ROUNDDOWN(MOD($B61,businessmodel!E$22),0)=0,-businessmodel!E$7*(1+parameters!$B$13)^$B61,0)</f>
        <v>-275</v>
      </c>
      <c r="G61" s="82">
        <f>IF(ROUNDDOWN(MOD($B61,businessmodel!F$22),0)=0,-businessmodel!F$7*(1+parameters!$B$13)^$B61,0)</f>
        <v>0</v>
      </c>
      <c r="H61" s="82">
        <f>IF(ROUNDDOWN(MOD($B61,businessmodel!G$22),0)=0,-businessmodel!G$7*(1+parameters!$B$13)^$B61,0)</f>
        <v>0</v>
      </c>
      <c r="I61" s="82">
        <f>IF(ROUNDDOWN(MOD($B61,businessmodel!H$22),0)=0,-businessmodel!H$7*(1+parameters!$B$13)^$B61,0)</f>
        <v>0</v>
      </c>
      <c r="J61" s="82">
        <f>IF(ROUNDDOWN(MOD($B61,businessmodel!I$22),0)=0,-businessmodel!I$7*(1+parameters!$B$13)^$B61,0)</f>
        <v>0</v>
      </c>
      <c r="K61" s="82">
        <f>IF(ROUNDDOWN(MOD($B61,businessmodel!J$22),0)=0,-businessmodel!J$7*(1+parameters!$B$13)^$B61,0)</f>
        <v>0</v>
      </c>
      <c r="L61" s="82">
        <f>IF(ROUNDDOWN(MOD($B61,businessmodel!K$22),0)=0,-businessmodel!K$7*(1+parameters!$B$13)^$B61,0)</f>
        <v>0</v>
      </c>
      <c r="M61" s="82">
        <f>IF(ROUNDDOWN(MOD($B61,businessmodel!L$22),0)=0,-businessmodel!L$7*(1+parameters!$B$13)^$B61,0)</f>
        <v>0</v>
      </c>
      <c r="N61" s="82">
        <f>IF(ROUNDDOWN(MOD($B61,businessmodel!M$22),0)=0,-businessmodel!M$7*(1+parameters!$B$13)^$B61,0)</f>
        <v>0</v>
      </c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</row>
    <row r="62" spans="2:44" ht="13.8">
      <c r="B62" s="99">
        <f t="shared" si="1"/>
        <v>18</v>
      </c>
      <c r="C62" s="82">
        <f>IF(ROUNDDOWN(MOD($B62,businessmodel!B$22),0)=0,-businessmodel!B$7*(1+parameters!$B$13)^$B62,0)</f>
        <v>0</v>
      </c>
      <c r="D62" s="82">
        <f>IF(ROUNDDOWN(MOD($B62,businessmodel!C$22),0)=0,-businessmodel!C$7*(1+parameters!$B$13)^$B62,0)</f>
        <v>0</v>
      </c>
      <c r="E62" s="82">
        <f>IF(ROUNDDOWN(MOD($B62,businessmodel!D$22),0)=0,-businessmodel!D$7*(1+parameters!$B$13)^$B62,0)</f>
        <v>0</v>
      </c>
      <c r="F62" s="82">
        <f>IF(ROUNDDOWN(MOD($B62,businessmodel!E$22),0)=0,-businessmodel!E$7*(1+parameters!$B$13)^$B62,0)</f>
        <v>0</v>
      </c>
      <c r="G62" s="82">
        <f>IF(ROUNDDOWN(MOD($B62,businessmodel!F$22),0)=0,-businessmodel!F$7*(1+parameters!$B$13)^$B62,0)</f>
        <v>-346</v>
      </c>
      <c r="H62" s="82">
        <f>IF(ROUNDDOWN(MOD($B62,businessmodel!G$22),0)=0,-businessmodel!G$7*(1+parameters!$B$13)^$B62,0)</f>
        <v>0</v>
      </c>
      <c r="I62" s="82">
        <f>IF(ROUNDDOWN(MOD($B62,businessmodel!H$22),0)=0,-businessmodel!H$7*(1+parameters!$B$13)^$B62,0)</f>
        <v>0</v>
      </c>
      <c r="J62" s="82">
        <f>IF(ROUNDDOWN(MOD($B62,businessmodel!I$22),0)=0,-businessmodel!I$7*(1+parameters!$B$13)^$B62,0)</f>
        <v>0</v>
      </c>
      <c r="K62" s="82">
        <f>IF(ROUNDDOWN(MOD($B62,businessmodel!J$22),0)=0,-businessmodel!J$7*(1+parameters!$B$13)^$B62,0)</f>
        <v>0</v>
      </c>
      <c r="L62" s="82">
        <f>IF(ROUNDDOWN(MOD($B62,businessmodel!K$22),0)=0,-businessmodel!K$7*(1+parameters!$B$13)^$B62,0)</f>
        <v>0</v>
      </c>
      <c r="M62" s="82">
        <f>IF(ROUNDDOWN(MOD($B62,businessmodel!L$22),0)=0,-businessmodel!L$7*(1+parameters!$B$13)^$B62,0)</f>
        <v>0</v>
      </c>
      <c r="N62" s="82">
        <f>IF(ROUNDDOWN(MOD($B62,businessmodel!M$22),0)=0,-businessmodel!M$7*(1+parameters!$B$13)^$B62,0)</f>
        <v>0</v>
      </c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</row>
    <row r="63" spans="2:44" ht="13.8">
      <c r="B63" s="99">
        <f t="shared" si="1"/>
        <v>19</v>
      </c>
      <c r="C63" s="82">
        <f>IF(ROUNDDOWN(MOD($B63,businessmodel!B$22),0)=0,-businessmodel!B$7*(1+parameters!$B$13)^$B63,0)</f>
        <v>0</v>
      </c>
      <c r="D63" s="82">
        <f>IF(ROUNDDOWN(MOD($B63,businessmodel!C$22),0)=0,-businessmodel!C$7*(1+parameters!$B$13)^$B63,0)</f>
        <v>0</v>
      </c>
      <c r="E63" s="82">
        <f>IF(ROUNDDOWN(MOD($B63,businessmodel!D$22),0)=0,-businessmodel!D$7*(1+parameters!$B$13)^$B63,0)</f>
        <v>0</v>
      </c>
      <c r="F63" s="82">
        <f>IF(ROUNDDOWN(MOD($B63,businessmodel!E$22),0)=0,-businessmodel!E$7*(1+parameters!$B$13)^$B63,0)</f>
        <v>0</v>
      </c>
      <c r="G63" s="82">
        <f>IF(ROUNDDOWN(MOD($B63,businessmodel!F$22),0)=0,-businessmodel!F$7*(1+parameters!$B$13)^$B63,0)</f>
        <v>0</v>
      </c>
      <c r="H63" s="82">
        <f>IF(ROUNDDOWN(MOD($B63,businessmodel!G$22),0)=0,-businessmodel!G$7*(1+parameters!$B$13)^$B63,0)</f>
        <v>0</v>
      </c>
      <c r="I63" s="82">
        <f>IF(ROUNDDOWN(MOD($B63,businessmodel!H$22),0)=0,-businessmodel!H$7*(1+parameters!$B$13)^$B63,0)</f>
        <v>0</v>
      </c>
      <c r="J63" s="82">
        <f>IF(ROUNDDOWN(MOD($B63,businessmodel!I$22),0)=0,-businessmodel!I$7*(1+parameters!$B$13)^$B63,0)</f>
        <v>0</v>
      </c>
      <c r="K63" s="82">
        <f>IF(ROUNDDOWN(MOD($B63,businessmodel!J$22),0)=0,-businessmodel!J$7*(1+parameters!$B$13)^$B63,0)</f>
        <v>-188</v>
      </c>
      <c r="L63" s="82">
        <f>IF(ROUNDDOWN(MOD($B63,businessmodel!K$22),0)=0,-businessmodel!K$7*(1+parameters!$B$13)^$B63,0)</f>
        <v>0</v>
      </c>
      <c r="M63" s="82">
        <f>IF(ROUNDDOWN(MOD($B63,businessmodel!L$22),0)=0,-businessmodel!L$7*(1+parameters!$B$13)^$B63,0)</f>
        <v>0</v>
      </c>
      <c r="N63" s="82">
        <f>IF(ROUNDDOWN(MOD($B63,businessmodel!M$22),0)=0,-businessmodel!M$7*(1+parameters!$B$13)^$B63,0)</f>
        <v>0</v>
      </c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</row>
    <row r="64" spans="2:44" ht="13.8">
      <c r="B64" s="99">
        <f t="shared" si="1"/>
        <v>20</v>
      </c>
      <c r="C64" s="82">
        <f>IF(ROUNDDOWN(MOD($B64,businessmodel!B$22),0)=0,-businessmodel!B$7*(1+parameters!$B$13)^$B64,0)</f>
        <v>0</v>
      </c>
      <c r="D64" s="82">
        <f>IF(ROUNDDOWN(MOD($B64,businessmodel!C$22),0)=0,-businessmodel!C$7*(1+parameters!$B$13)^$B64,0)</f>
        <v>0</v>
      </c>
      <c r="E64" s="82">
        <f>IF(ROUNDDOWN(MOD($B64,businessmodel!D$22),0)=0,-businessmodel!D$7*(1+parameters!$B$13)^$B64,0)</f>
        <v>0</v>
      </c>
      <c r="F64" s="82">
        <f>IF(ROUNDDOWN(MOD($B64,businessmodel!E$22),0)=0,-businessmodel!E$7*(1+parameters!$B$13)^$B64,0)</f>
        <v>0</v>
      </c>
      <c r="G64" s="82">
        <f>IF(ROUNDDOWN(MOD($B64,businessmodel!F$22),0)=0,-businessmodel!F$7*(1+parameters!$B$13)^$B64,0)</f>
        <v>0</v>
      </c>
      <c r="H64" s="82">
        <f>IF(ROUNDDOWN(MOD($B64,businessmodel!G$22),0)=0,-businessmodel!G$7*(1+parameters!$B$13)^$B64,0)</f>
        <v>0</v>
      </c>
      <c r="I64" s="82">
        <f>IF(ROUNDDOWN(MOD($B64,businessmodel!H$22),0)=0,-businessmodel!H$7*(1+parameters!$B$13)^$B64,0)</f>
        <v>0</v>
      </c>
      <c r="J64" s="82">
        <f>IF(ROUNDDOWN(MOD($B64,businessmodel!I$22),0)=0,-businessmodel!I$7*(1+parameters!$B$13)^$B64,0)</f>
        <v>0</v>
      </c>
      <c r="K64" s="82">
        <f>IF(ROUNDDOWN(MOD($B64,businessmodel!J$22),0)=0,-businessmodel!J$7*(1+parameters!$B$13)^$B64,0)</f>
        <v>0</v>
      </c>
      <c r="L64" s="82">
        <f>IF(ROUNDDOWN(MOD($B64,businessmodel!K$22),0)=0,-businessmodel!K$7*(1+parameters!$B$13)^$B64,0)</f>
        <v>0</v>
      </c>
      <c r="M64" s="82">
        <f>IF(ROUNDDOWN(MOD($B64,businessmodel!L$22),0)=0,-businessmodel!L$7*(1+parameters!$B$13)^$B64,0)</f>
        <v>0</v>
      </c>
      <c r="N64" s="82">
        <f>IF(ROUNDDOWN(MOD($B64,businessmodel!M$22),0)=0,-businessmodel!M$7*(1+parameters!$B$13)^$B64,0)</f>
        <v>0</v>
      </c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</row>
    <row r="65" spans="2:44" ht="13.8">
      <c r="B65" s="99">
        <f t="shared" si="1"/>
        <v>21</v>
      </c>
      <c r="C65" s="82">
        <f>IF(ROUNDDOWN(MOD($B65,businessmodel!B$22),0)=0,-businessmodel!B$7*(1+parameters!$B$13)^$B65,0)</f>
        <v>0</v>
      </c>
      <c r="D65" s="82">
        <f>IF(ROUNDDOWN(MOD($B65,businessmodel!C$22),0)=0,-businessmodel!C$7*(1+parameters!$B$13)^$B65,0)</f>
        <v>0</v>
      </c>
      <c r="E65" s="82">
        <f>IF(ROUNDDOWN(MOD($B65,businessmodel!D$22),0)=0,-businessmodel!D$7*(1+parameters!$B$13)^$B65,0)</f>
        <v>0</v>
      </c>
      <c r="F65" s="82">
        <f>IF(ROUNDDOWN(MOD($B65,businessmodel!E$22),0)=0,-businessmodel!E$7*(1+parameters!$B$13)^$B65,0)</f>
        <v>0</v>
      </c>
      <c r="G65" s="82">
        <f>IF(ROUNDDOWN(MOD($B65,businessmodel!F$22),0)=0,-businessmodel!F$7*(1+parameters!$B$13)^$B65,0)</f>
        <v>0</v>
      </c>
      <c r="H65" s="82">
        <f>IF(ROUNDDOWN(MOD($B65,businessmodel!G$22),0)=0,-businessmodel!G$7*(1+parameters!$B$13)^$B65,0)</f>
        <v>0</v>
      </c>
      <c r="I65" s="82">
        <f>IF(ROUNDDOWN(MOD($B65,businessmodel!H$22),0)=0,-businessmodel!H$7*(1+parameters!$B$13)^$B65,0)</f>
        <v>0</v>
      </c>
      <c r="J65" s="82">
        <f>IF(ROUNDDOWN(MOD($B65,businessmodel!I$22),0)=0,-businessmodel!I$7*(1+parameters!$B$13)^$B65,0)</f>
        <v>0</v>
      </c>
      <c r="K65" s="82">
        <f>IF(ROUNDDOWN(MOD($B65,businessmodel!J$22),0)=0,-businessmodel!J$7*(1+parameters!$B$13)^$B65,0)</f>
        <v>0</v>
      </c>
      <c r="L65" s="82">
        <f>IF(ROUNDDOWN(MOD($B65,businessmodel!K$22),0)=0,-businessmodel!K$7*(1+parameters!$B$13)^$B65,0)</f>
        <v>0</v>
      </c>
      <c r="M65" s="82">
        <f>IF(ROUNDDOWN(MOD($B65,businessmodel!L$22),0)=0,-businessmodel!L$7*(1+parameters!$B$13)^$B65,0)</f>
        <v>0</v>
      </c>
      <c r="N65" s="82">
        <f>IF(ROUNDDOWN(MOD($B65,businessmodel!M$22),0)=0,-businessmodel!M$7*(1+parameters!$B$13)^$B65,0)</f>
        <v>0</v>
      </c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</row>
    <row r="66" spans="2:44" ht="13.8">
      <c r="B66" s="99">
        <f t="shared" si="1"/>
        <v>22</v>
      </c>
      <c r="C66" s="82">
        <f>IF(ROUNDDOWN(MOD($B66,businessmodel!B$22),0)=0,-businessmodel!B$7*(1+parameters!$B$13)^$B66,0)</f>
        <v>0</v>
      </c>
      <c r="D66" s="82">
        <f>IF(ROUNDDOWN(MOD($B66,businessmodel!C$22),0)=0,-businessmodel!C$7*(1+parameters!$B$13)^$B66,0)</f>
        <v>0</v>
      </c>
      <c r="E66" s="82">
        <f>IF(ROUNDDOWN(MOD($B66,businessmodel!D$22),0)=0,-businessmodel!D$7*(1+parameters!$B$13)^$B66,0)</f>
        <v>0</v>
      </c>
      <c r="F66" s="82">
        <f>IF(ROUNDDOWN(MOD($B66,businessmodel!E$22),0)=0,-businessmodel!E$7*(1+parameters!$B$13)^$B66,0)</f>
        <v>0</v>
      </c>
      <c r="G66" s="82">
        <f>IF(ROUNDDOWN(MOD($B66,businessmodel!F$22),0)=0,-businessmodel!F$7*(1+parameters!$B$13)^$B66,0)</f>
        <v>0</v>
      </c>
      <c r="H66" s="82">
        <f>IF(ROUNDDOWN(MOD($B66,businessmodel!G$22),0)=0,-businessmodel!G$7*(1+parameters!$B$13)^$B66,0)</f>
        <v>0</v>
      </c>
      <c r="I66" s="82">
        <f>IF(ROUNDDOWN(MOD($B66,businessmodel!H$22),0)=0,-businessmodel!H$7*(1+parameters!$B$13)^$B66,0)</f>
        <v>0</v>
      </c>
      <c r="J66" s="82">
        <f>IF(ROUNDDOWN(MOD($B66,businessmodel!I$22),0)=0,-businessmodel!I$7*(1+parameters!$B$13)^$B66,0)</f>
        <v>0</v>
      </c>
      <c r="K66" s="82">
        <f>IF(ROUNDDOWN(MOD($B66,businessmodel!J$22),0)=0,-businessmodel!J$7*(1+parameters!$B$13)^$B66,0)</f>
        <v>0</v>
      </c>
      <c r="L66" s="82">
        <f>IF(ROUNDDOWN(MOD($B66,businessmodel!K$22),0)=0,-businessmodel!K$7*(1+parameters!$B$13)^$B66,0)</f>
        <v>0</v>
      </c>
      <c r="M66" s="82">
        <f>IF(ROUNDDOWN(MOD($B66,businessmodel!L$22),0)=0,-businessmodel!L$7*(1+parameters!$B$13)^$B66,0)</f>
        <v>0</v>
      </c>
      <c r="N66" s="82">
        <f>IF(ROUNDDOWN(MOD($B66,businessmodel!M$22),0)=0,-businessmodel!M$7*(1+parameters!$B$13)^$B66,0)</f>
        <v>0</v>
      </c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</row>
    <row r="67" spans="2:44" ht="13.8">
      <c r="B67" s="99">
        <f t="shared" si="1"/>
        <v>23</v>
      </c>
      <c r="C67" s="82">
        <f>IF(ROUNDDOWN(MOD($B67,businessmodel!B$22),0)=0,-businessmodel!B$7*(1+parameters!$B$13)^$B67,0)</f>
        <v>-300</v>
      </c>
      <c r="D67" s="82">
        <f>IF(ROUNDDOWN(MOD($B67,businessmodel!C$22),0)=0,-businessmodel!C$7*(1+parameters!$B$13)^$B67,0)</f>
        <v>-600</v>
      </c>
      <c r="E67" s="82">
        <f>IF(ROUNDDOWN(MOD($B67,businessmodel!D$22),0)=0,-businessmodel!D$7*(1+parameters!$B$13)^$B67,0)</f>
        <v>0</v>
      </c>
      <c r="F67" s="82">
        <f>IF(ROUNDDOWN(MOD($B67,businessmodel!E$22),0)=0,-businessmodel!E$7*(1+parameters!$B$13)^$B67,0)</f>
        <v>0</v>
      </c>
      <c r="G67" s="82">
        <f>IF(ROUNDDOWN(MOD($B67,businessmodel!F$22),0)=0,-businessmodel!F$7*(1+parameters!$B$13)^$B67,0)</f>
        <v>0</v>
      </c>
      <c r="H67" s="82">
        <f>IF(ROUNDDOWN(MOD($B67,businessmodel!G$22),0)=0,-businessmodel!G$7*(1+parameters!$B$13)^$B67,0)</f>
        <v>0</v>
      </c>
      <c r="I67" s="82">
        <f>IF(ROUNDDOWN(MOD($B67,businessmodel!H$22),0)=0,-businessmodel!H$7*(1+parameters!$B$13)^$B67,0)</f>
        <v>-560</v>
      </c>
      <c r="J67" s="82">
        <f>IF(ROUNDDOWN(MOD($B67,businessmodel!I$22),0)=0,-businessmodel!I$7*(1+parameters!$B$13)^$B67,0)</f>
        <v>0</v>
      </c>
      <c r="K67" s="82">
        <f>IF(ROUNDDOWN(MOD($B67,businessmodel!J$22),0)=0,-businessmodel!J$7*(1+parameters!$B$13)^$B67,0)</f>
        <v>0</v>
      </c>
      <c r="L67" s="82">
        <f>IF(ROUNDDOWN(MOD($B67,businessmodel!K$22),0)=0,-businessmodel!K$7*(1+parameters!$B$13)^$B67,0)</f>
        <v>0</v>
      </c>
      <c r="M67" s="82">
        <f>IF(ROUNDDOWN(MOD($B67,businessmodel!L$22),0)=0,-businessmodel!L$7*(1+parameters!$B$13)^$B67,0)</f>
        <v>0</v>
      </c>
      <c r="N67" s="82">
        <f>IF(ROUNDDOWN(MOD($B67,businessmodel!M$22),0)=0,-businessmodel!M$7*(1+parameters!$B$13)^$B67,0)</f>
        <v>0</v>
      </c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</row>
    <row r="68" spans="2:44" ht="13.8">
      <c r="B68" s="99">
        <f t="shared" si="1"/>
        <v>24</v>
      </c>
      <c r="C68" s="82">
        <f>IF(ROUNDDOWN(MOD($B68,businessmodel!B$22),0)=0,-businessmodel!B$7*(1+parameters!$B$13)^$B68,0)</f>
        <v>0</v>
      </c>
      <c r="D68" s="82">
        <f>IF(ROUNDDOWN(MOD($B68,businessmodel!C$22),0)=0,-businessmodel!C$7*(1+parameters!$B$13)^$B68,0)</f>
        <v>0</v>
      </c>
      <c r="E68" s="82">
        <f>IF(ROUNDDOWN(MOD($B68,businessmodel!D$22),0)=0,-businessmodel!D$7*(1+parameters!$B$13)^$B68,0)</f>
        <v>0</v>
      </c>
      <c r="F68" s="82">
        <f>IF(ROUNDDOWN(MOD($B68,businessmodel!E$22),0)=0,-businessmodel!E$7*(1+parameters!$B$13)^$B68,0)</f>
        <v>0</v>
      </c>
      <c r="G68" s="82">
        <f>IF(ROUNDDOWN(MOD($B68,businessmodel!F$22),0)=0,-businessmodel!F$7*(1+parameters!$B$13)^$B68,0)</f>
        <v>0</v>
      </c>
      <c r="H68" s="82">
        <f>IF(ROUNDDOWN(MOD($B68,businessmodel!G$22),0)=0,-businessmodel!G$7*(1+parameters!$B$13)^$B68,0)</f>
        <v>0</v>
      </c>
      <c r="I68" s="82">
        <f>IF(ROUNDDOWN(MOD($B68,businessmodel!H$22),0)=0,-businessmodel!H$7*(1+parameters!$B$13)^$B68,0)</f>
        <v>0</v>
      </c>
      <c r="J68" s="82">
        <f>IF(ROUNDDOWN(MOD($B68,businessmodel!I$22),0)=0,-businessmodel!I$7*(1+parameters!$B$13)^$B68,0)</f>
        <v>0</v>
      </c>
      <c r="K68" s="82">
        <f>IF(ROUNDDOWN(MOD($B68,businessmodel!J$22),0)=0,-businessmodel!J$7*(1+parameters!$B$13)^$B68,0)</f>
        <v>0</v>
      </c>
      <c r="L68" s="82">
        <f>IF(ROUNDDOWN(MOD($B68,businessmodel!K$22),0)=0,-businessmodel!K$7*(1+parameters!$B$13)^$B68,0)</f>
        <v>0</v>
      </c>
      <c r="M68" s="82">
        <f>IF(ROUNDDOWN(MOD($B68,businessmodel!L$22),0)=0,-businessmodel!L$7*(1+parameters!$B$13)^$B68,0)</f>
        <v>0</v>
      </c>
      <c r="N68" s="82">
        <f>IF(ROUNDDOWN(MOD($B68,businessmodel!M$22),0)=0,-businessmodel!M$7*(1+parameters!$B$13)^$B68,0)</f>
        <v>0</v>
      </c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</row>
    <row r="69" spans="2:44" ht="13.8">
      <c r="B69" s="99">
        <f t="shared" si="1"/>
        <v>25</v>
      </c>
      <c r="C69" s="82">
        <f>IF(ROUNDDOWN(MOD($B69,businessmodel!B$22),0)=0,-businessmodel!B$7*(1+parameters!$B$13)^$B69,0)</f>
        <v>0</v>
      </c>
      <c r="D69" s="82">
        <f>IF(ROUNDDOWN(MOD($B69,businessmodel!C$22),0)=0,-businessmodel!C$7*(1+parameters!$B$13)^$B69,0)</f>
        <v>0</v>
      </c>
      <c r="E69" s="82">
        <f>IF(ROUNDDOWN(MOD($B69,businessmodel!D$22),0)=0,-businessmodel!D$7*(1+parameters!$B$13)^$B69,0)</f>
        <v>0</v>
      </c>
      <c r="F69" s="82">
        <f>IF(ROUNDDOWN(MOD($B69,businessmodel!E$22),0)=0,-businessmodel!E$7*(1+parameters!$B$13)^$B69,0)</f>
        <v>0</v>
      </c>
      <c r="G69" s="82">
        <f>IF(ROUNDDOWN(MOD($B69,businessmodel!F$22),0)=0,-businessmodel!F$7*(1+parameters!$B$13)^$B69,0)</f>
        <v>0</v>
      </c>
      <c r="H69" s="82">
        <f>IF(ROUNDDOWN(MOD($B69,businessmodel!G$22),0)=0,-businessmodel!G$7*(1+parameters!$B$13)^$B69,0)</f>
        <v>0</v>
      </c>
      <c r="I69" s="82">
        <f>IF(ROUNDDOWN(MOD($B69,businessmodel!H$22),0)=0,-businessmodel!H$7*(1+parameters!$B$13)^$B69,0)</f>
        <v>0</v>
      </c>
      <c r="J69" s="82">
        <f>IF(ROUNDDOWN(MOD($B69,businessmodel!I$22),0)=0,-businessmodel!I$7*(1+parameters!$B$13)^$B69,0)</f>
        <v>0</v>
      </c>
      <c r="K69" s="82">
        <f>IF(ROUNDDOWN(MOD($B69,businessmodel!J$22),0)=0,-businessmodel!J$7*(1+parameters!$B$13)^$B69,0)</f>
        <v>0</v>
      </c>
      <c r="L69" s="82">
        <f>IF(ROUNDDOWN(MOD($B69,businessmodel!K$22),0)=0,-businessmodel!K$7*(1+parameters!$B$13)^$B69,0)</f>
        <v>0</v>
      </c>
      <c r="M69" s="82">
        <f>IF(ROUNDDOWN(MOD($B69,businessmodel!L$22),0)=0,-businessmodel!L$7*(1+parameters!$B$13)^$B69,0)</f>
        <v>0</v>
      </c>
      <c r="N69" s="82">
        <f>IF(ROUNDDOWN(MOD($B69,businessmodel!M$22),0)=0,-businessmodel!M$7*(1+parameters!$B$13)^$B69,0)</f>
        <v>0</v>
      </c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</row>
    <row r="70" spans="2:44" ht="13.8">
      <c r="B70" s="99">
        <f t="shared" si="1"/>
        <v>26</v>
      </c>
      <c r="C70" s="82">
        <f>IF(ROUNDDOWN(MOD($B70,businessmodel!B$22),0)=0,-businessmodel!B$7*(1+parameters!$B$13)^$B70,0)</f>
        <v>0</v>
      </c>
      <c r="D70" s="82">
        <f>IF(ROUNDDOWN(MOD($B70,businessmodel!C$22),0)=0,-businessmodel!C$7*(1+parameters!$B$13)^$B70,0)</f>
        <v>0</v>
      </c>
      <c r="E70" s="82">
        <f>IF(ROUNDDOWN(MOD($B70,businessmodel!D$22),0)=0,-businessmodel!D$7*(1+parameters!$B$13)^$B70,0)</f>
        <v>0</v>
      </c>
      <c r="F70" s="82">
        <f>IF(ROUNDDOWN(MOD($B70,businessmodel!E$22),0)=0,-businessmodel!E$7*(1+parameters!$B$13)^$B70,0)</f>
        <v>0</v>
      </c>
      <c r="G70" s="82">
        <f>IF(ROUNDDOWN(MOD($B70,businessmodel!F$22),0)=0,-businessmodel!F$7*(1+parameters!$B$13)^$B70,0)</f>
        <v>0</v>
      </c>
      <c r="H70" s="82">
        <f>IF(ROUNDDOWN(MOD($B70,businessmodel!G$22),0)=0,-businessmodel!G$7*(1+parameters!$B$13)^$B70,0)</f>
        <v>0</v>
      </c>
      <c r="I70" s="82">
        <f>IF(ROUNDDOWN(MOD($B70,businessmodel!H$22),0)=0,-businessmodel!H$7*(1+parameters!$B$13)^$B70,0)</f>
        <v>0</v>
      </c>
      <c r="J70" s="82">
        <f>IF(ROUNDDOWN(MOD($B70,businessmodel!I$22),0)=0,-businessmodel!I$7*(1+parameters!$B$13)^$B70,0)</f>
        <v>0</v>
      </c>
      <c r="K70" s="82">
        <f>IF(ROUNDDOWN(MOD($B70,businessmodel!J$22),0)=0,-businessmodel!J$7*(1+parameters!$B$13)^$B70,0)</f>
        <v>0</v>
      </c>
      <c r="L70" s="82">
        <f>IF(ROUNDDOWN(MOD($B70,businessmodel!K$22),0)=0,-businessmodel!K$7*(1+parameters!$B$13)^$B70,0)</f>
        <v>0</v>
      </c>
      <c r="M70" s="82">
        <f>IF(ROUNDDOWN(MOD($B70,businessmodel!L$22),0)=0,-businessmodel!L$7*(1+parameters!$B$13)^$B70,0)</f>
        <v>0</v>
      </c>
      <c r="N70" s="82">
        <f>IF(ROUNDDOWN(MOD($B70,businessmodel!M$22),0)=0,-businessmodel!M$7*(1+parameters!$B$13)^$B70,0)</f>
        <v>0</v>
      </c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</row>
    <row r="71" spans="2:44" ht="13.8">
      <c r="B71" s="99">
        <f t="shared" si="1"/>
        <v>27</v>
      </c>
      <c r="C71" s="82">
        <f>IF(ROUNDDOWN(MOD($B71,businessmodel!B$22),0)=0,-businessmodel!B$7*(1+parameters!$B$13)^$B71,0)</f>
        <v>0</v>
      </c>
      <c r="D71" s="82">
        <f>IF(ROUNDDOWN(MOD($B71,businessmodel!C$22),0)=0,-businessmodel!C$7*(1+parameters!$B$13)^$B71,0)</f>
        <v>0</v>
      </c>
      <c r="E71" s="82">
        <f>IF(ROUNDDOWN(MOD($B71,businessmodel!D$22),0)=0,-businessmodel!D$7*(1+parameters!$B$13)^$B71,0)</f>
        <v>0</v>
      </c>
      <c r="F71" s="82">
        <f>IF(ROUNDDOWN(MOD($B71,businessmodel!E$22),0)=0,-businessmodel!E$7*(1+parameters!$B$13)^$B71,0)</f>
        <v>0</v>
      </c>
      <c r="G71" s="82">
        <f>IF(ROUNDDOWN(MOD($B71,businessmodel!F$22),0)=0,-businessmodel!F$7*(1+parameters!$B$13)^$B71,0)</f>
        <v>0</v>
      </c>
      <c r="H71" s="82">
        <f>IF(ROUNDDOWN(MOD($B71,businessmodel!G$22),0)=0,-businessmodel!G$7*(1+parameters!$B$13)^$B71,0)</f>
        <v>0</v>
      </c>
      <c r="I71" s="82">
        <f>IF(ROUNDDOWN(MOD($B71,businessmodel!H$22),0)=0,-businessmodel!H$7*(1+parameters!$B$13)^$B71,0)</f>
        <v>0</v>
      </c>
      <c r="J71" s="82">
        <f>IF(ROUNDDOWN(MOD($B71,businessmodel!I$22),0)=0,-businessmodel!I$7*(1+parameters!$B$13)^$B71,0)</f>
        <v>0</v>
      </c>
      <c r="K71" s="82">
        <f>IF(ROUNDDOWN(MOD($B71,businessmodel!J$22),0)=0,-businessmodel!J$7*(1+parameters!$B$13)^$B71,0)</f>
        <v>0</v>
      </c>
      <c r="L71" s="82">
        <f>IF(ROUNDDOWN(MOD($B71,businessmodel!K$22),0)=0,-businessmodel!K$7*(1+parameters!$B$13)^$B71,0)</f>
        <v>0</v>
      </c>
      <c r="M71" s="82">
        <f>IF(ROUNDDOWN(MOD($B71,businessmodel!L$22),0)=0,-businessmodel!L$7*(1+parameters!$B$13)^$B71,0)</f>
        <v>0</v>
      </c>
      <c r="N71" s="82">
        <f>IF(ROUNDDOWN(MOD($B71,businessmodel!M$22),0)=0,-businessmodel!M$7*(1+parameters!$B$13)^$B71,0)</f>
        <v>0</v>
      </c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</row>
    <row r="72" spans="2:44" ht="13.8">
      <c r="B72" s="99">
        <f t="shared" si="1"/>
        <v>28</v>
      </c>
      <c r="C72" s="82">
        <f>IF(ROUNDDOWN(MOD($B72,businessmodel!B$22),0)=0,-businessmodel!B$7*(1+parameters!$B$13)^$B72,0)</f>
        <v>0</v>
      </c>
      <c r="D72" s="82">
        <f>IF(ROUNDDOWN(MOD($B72,businessmodel!C$22),0)=0,-businessmodel!C$7*(1+parameters!$B$13)^$B72,0)</f>
        <v>0</v>
      </c>
      <c r="E72" s="82">
        <f>IF(ROUNDDOWN(MOD($B72,businessmodel!D$22),0)=0,-businessmodel!D$7*(1+parameters!$B$13)^$B72,0)</f>
        <v>-200</v>
      </c>
      <c r="F72" s="82">
        <f>IF(ROUNDDOWN(MOD($B72,businessmodel!E$22),0)=0,-businessmodel!E$7*(1+parameters!$B$13)^$B72,0)</f>
        <v>0</v>
      </c>
      <c r="G72" s="82">
        <f>IF(ROUNDDOWN(MOD($B72,businessmodel!F$22),0)=0,-businessmodel!F$7*(1+parameters!$B$13)^$B72,0)</f>
        <v>0</v>
      </c>
      <c r="H72" s="82">
        <f>IF(ROUNDDOWN(MOD($B72,businessmodel!G$22),0)=0,-businessmodel!G$7*(1+parameters!$B$13)^$B72,0)</f>
        <v>0</v>
      </c>
      <c r="I72" s="82">
        <f>IF(ROUNDDOWN(MOD($B72,businessmodel!H$22),0)=0,-businessmodel!H$7*(1+parameters!$B$13)^$B72,0)</f>
        <v>0</v>
      </c>
      <c r="J72" s="82">
        <f>IF(ROUNDDOWN(MOD($B72,businessmodel!I$22),0)=0,-businessmodel!I$7*(1+parameters!$B$13)^$B72,0)</f>
        <v>0</v>
      </c>
      <c r="K72" s="82">
        <f>IF(ROUNDDOWN(MOD($B72,businessmodel!J$22),0)=0,-businessmodel!J$7*(1+parameters!$B$13)^$B72,0)</f>
        <v>0</v>
      </c>
      <c r="L72" s="82">
        <f>IF(ROUNDDOWN(MOD($B72,businessmodel!K$22),0)=0,-businessmodel!K$7*(1+parameters!$B$13)^$B72,0)</f>
        <v>0</v>
      </c>
      <c r="M72" s="82">
        <f>IF(ROUNDDOWN(MOD($B72,businessmodel!L$22),0)=0,-businessmodel!L$7*(1+parameters!$B$13)^$B72,0)</f>
        <v>0</v>
      </c>
      <c r="N72" s="82">
        <f>IF(ROUNDDOWN(MOD($B72,businessmodel!M$22),0)=0,-businessmodel!M$7*(1+parameters!$B$13)^$B72,0)</f>
        <v>0</v>
      </c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</row>
    <row r="73" spans="2:44" ht="13.8">
      <c r="B73" s="99">
        <f t="shared" si="1"/>
        <v>29</v>
      </c>
      <c r="C73" s="82">
        <f>IF(ROUNDDOWN(MOD($B73,businessmodel!B$22),0)=0,-businessmodel!B$7*(1+parameters!$B$13)^$B73,0)</f>
        <v>0</v>
      </c>
      <c r="D73" s="82">
        <f>IF(ROUNDDOWN(MOD($B73,businessmodel!C$22),0)=0,-businessmodel!C$7*(1+parameters!$B$13)^$B73,0)</f>
        <v>0</v>
      </c>
      <c r="E73" s="82">
        <f>IF(ROUNDDOWN(MOD($B73,businessmodel!D$22),0)=0,-businessmodel!D$7*(1+parameters!$B$13)^$B73,0)</f>
        <v>0</v>
      </c>
      <c r="F73" s="82">
        <f>IF(ROUNDDOWN(MOD($B73,businessmodel!E$22),0)=0,-businessmodel!E$7*(1+parameters!$B$13)^$B73,0)</f>
        <v>0</v>
      </c>
      <c r="G73" s="82">
        <f>IF(ROUNDDOWN(MOD($B73,businessmodel!F$22),0)=0,-businessmodel!F$7*(1+parameters!$B$13)^$B73,0)</f>
        <v>0</v>
      </c>
      <c r="H73" s="82">
        <f>IF(ROUNDDOWN(MOD($B73,businessmodel!G$22),0)=0,-businessmodel!G$7*(1+parameters!$B$13)^$B73,0)</f>
        <v>0</v>
      </c>
      <c r="I73" s="82">
        <f>IF(ROUNDDOWN(MOD($B73,businessmodel!H$22),0)=0,-businessmodel!H$7*(1+parameters!$B$13)^$B73,0)</f>
        <v>0</v>
      </c>
      <c r="J73" s="82">
        <f>IF(ROUNDDOWN(MOD($B73,businessmodel!I$22),0)=0,-businessmodel!I$7*(1+parameters!$B$13)^$B73,0)</f>
        <v>0</v>
      </c>
      <c r="K73" s="82">
        <f>IF(ROUNDDOWN(MOD($B73,businessmodel!J$22),0)=0,-businessmodel!J$7*(1+parameters!$B$13)^$B73,0)</f>
        <v>0</v>
      </c>
      <c r="L73" s="82">
        <f>IF(ROUNDDOWN(MOD($B73,businessmodel!K$22),0)=0,-businessmodel!K$7*(1+parameters!$B$13)^$B73,0)</f>
        <v>0</v>
      </c>
      <c r="M73" s="82">
        <f>IF(ROUNDDOWN(MOD($B73,businessmodel!L$22),0)=0,-businessmodel!L$7*(1+parameters!$B$13)^$B73,0)</f>
        <v>0</v>
      </c>
      <c r="N73" s="82">
        <f>IF(ROUNDDOWN(MOD($B73,businessmodel!M$22),0)=0,-businessmodel!M$7*(1+parameters!$B$13)^$B73,0)</f>
        <v>0</v>
      </c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</row>
    <row r="74" spans="2:44" ht="13.8">
      <c r="B74" s="99">
        <f t="shared" si="1"/>
        <v>30</v>
      </c>
      <c r="C74" s="82">
        <f>IF(ROUNDDOWN(MOD($B74,businessmodel!B$22),0)=0,-businessmodel!B$7*(1+parameters!$B$13)^$B74,0)</f>
        <v>0</v>
      </c>
      <c r="D74" s="82">
        <f>IF(ROUNDDOWN(MOD($B74,businessmodel!C$22),0)=0,-businessmodel!C$7*(1+parameters!$B$13)^$B74,0)</f>
        <v>0</v>
      </c>
      <c r="E74" s="82">
        <f>IF(ROUNDDOWN(MOD($B74,businessmodel!D$22),0)=0,-businessmodel!D$7*(1+parameters!$B$13)^$B74,0)</f>
        <v>0</v>
      </c>
      <c r="F74" s="82">
        <f>IF(ROUNDDOWN(MOD($B74,businessmodel!E$22),0)=0,-businessmodel!E$7*(1+parameters!$B$13)^$B74,0)</f>
        <v>0</v>
      </c>
      <c r="G74" s="82">
        <f>IF(ROUNDDOWN(MOD($B74,businessmodel!F$22),0)=0,-businessmodel!F$7*(1+parameters!$B$13)^$B74,0)</f>
        <v>0</v>
      </c>
      <c r="H74" s="82">
        <f>IF(ROUNDDOWN(MOD($B74,businessmodel!G$22),0)=0,-businessmodel!G$7*(1+parameters!$B$13)^$B74,0)</f>
        <v>0</v>
      </c>
      <c r="I74" s="82">
        <f>IF(ROUNDDOWN(MOD($B74,businessmodel!H$22),0)=0,-businessmodel!H$7*(1+parameters!$B$13)^$B74,0)</f>
        <v>0</v>
      </c>
      <c r="J74" s="82">
        <f>IF(ROUNDDOWN(MOD($B74,businessmodel!I$22),0)=0,-businessmodel!I$7*(1+parameters!$B$13)^$B74,0)</f>
        <v>0</v>
      </c>
      <c r="K74" s="82">
        <f>IF(ROUNDDOWN(MOD($B74,businessmodel!J$22),0)=0,-businessmodel!J$7*(1+parameters!$B$13)^$B74,0)</f>
        <v>0</v>
      </c>
      <c r="L74" s="82">
        <f>IF(ROUNDDOWN(MOD($B74,businessmodel!K$22),0)=0,-businessmodel!K$7*(1+parameters!$B$13)^$B74,0)</f>
        <v>0</v>
      </c>
      <c r="M74" s="82">
        <f>IF(ROUNDDOWN(MOD($B74,businessmodel!L$22),0)=0,-businessmodel!L$7*(1+parameters!$B$13)^$B74,0)</f>
        <v>0</v>
      </c>
      <c r="N74" s="82">
        <f>IF(ROUNDDOWN(MOD($B74,businessmodel!M$22),0)=0,-businessmodel!M$7*(1+parameters!$B$13)^$B74,0)</f>
        <v>0</v>
      </c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</row>
    <row r="75" spans="2:44" ht="13.8">
      <c r="B75" s="99">
        <f t="shared" si="1"/>
        <v>31</v>
      </c>
      <c r="C75" s="82">
        <f>IF(ROUNDDOWN(MOD($B75,businessmodel!B$22),0)=0,-businessmodel!B$7*(1+parameters!$B$13)^$B75,0)</f>
        <v>0</v>
      </c>
      <c r="D75" s="82">
        <f>IF(ROUNDDOWN(MOD($B75,businessmodel!C$22),0)=0,-businessmodel!C$7*(1+parameters!$B$13)^$B75,0)</f>
        <v>0</v>
      </c>
      <c r="E75" s="82">
        <f>IF(ROUNDDOWN(MOD($B75,businessmodel!D$22),0)=0,-businessmodel!D$7*(1+parameters!$B$13)^$B75,0)</f>
        <v>0</v>
      </c>
      <c r="F75" s="82">
        <f>IF(ROUNDDOWN(MOD($B75,businessmodel!E$22),0)=0,-businessmodel!E$7*(1+parameters!$B$13)^$B75,0)</f>
        <v>0</v>
      </c>
      <c r="G75" s="82">
        <f>IF(ROUNDDOWN(MOD($B75,businessmodel!F$22),0)=0,-businessmodel!F$7*(1+parameters!$B$13)^$B75,0)</f>
        <v>0</v>
      </c>
      <c r="H75" s="82">
        <f>IF(ROUNDDOWN(MOD($B75,businessmodel!G$22),0)=0,-businessmodel!G$7*(1+parameters!$B$13)^$B75,0)</f>
        <v>0</v>
      </c>
      <c r="I75" s="82">
        <f>IF(ROUNDDOWN(MOD($B75,businessmodel!H$22),0)=0,-businessmodel!H$7*(1+parameters!$B$13)^$B75,0)</f>
        <v>0</v>
      </c>
      <c r="J75" s="82">
        <f>IF(ROUNDDOWN(MOD($B75,businessmodel!I$22),0)=0,-businessmodel!I$7*(1+parameters!$B$13)^$B75,0)</f>
        <v>0</v>
      </c>
      <c r="K75" s="82">
        <f>IF(ROUNDDOWN(MOD($B75,businessmodel!J$22),0)=0,-businessmodel!J$7*(1+parameters!$B$13)^$B75,0)</f>
        <v>0</v>
      </c>
      <c r="L75" s="82">
        <f>IF(ROUNDDOWN(MOD($B75,businessmodel!K$22),0)=0,-businessmodel!K$7*(1+parameters!$B$13)^$B75,0)</f>
        <v>0</v>
      </c>
      <c r="M75" s="82">
        <f>IF(ROUNDDOWN(MOD($B75,businessmodel!L$22),0)=0,-businessmodel!L$7*(1+parameters!$B$13)^$B75,0)</f>
        <v>0</v>
      </c>
      <c r="N75" s="82">
        <f>IF(ROUNDDOWN(MOD($B75,businessmodel!M$22),0)=0,-businessmodel!M$7*(1+parameters!$B$13)^$B75,0)</f>
        <v>0</v>
      </c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</row>
    <row r="76" spans="2:44" ht="13.8">
      <c r="B76" s="99">
        <f t="shared" si="1"/>
        <v>32</v>
      </c>
      <c r="C76" s="82">
        <f>IF(ROUNDDOWN(MOD($B76,businessmodel!B$22),0)=0,-businessmodel!B$7*(1+parameters!$B$13)^$B76,0)</f>
        <v>0</v>
      </c>
      <c r="D76" s="82">
        <f>IF(ROUNDDOWN(MOD($B76,businessmodel!C$22),0)=0,-businessmodel!C$7*(1+parameters!$B$13)^$B76,0)</f>
        <v>0</v>
      </c>
      <c r="E76" s="82">
        <f>IF(ROUNDDOWN(MOD($B76,businessmodel!D$22),0)=0,-businessmodel!D$7*(1+parameters!$B$13)^$B76,0)</f>
        <v>0</v>
      </c>
      <c r="F76" s="82">
        <f>IF(ROUNDDOWN(MOD($B76,businessmodel!E$22),0)=0,-businessmodel!E$7*(1+parameters!$B$13)^$B76,0)</f>
        <v>0</v>
      </c>
      <c r="G76" s="82">
        <f>IF(ROUNDDOWN(MOD($B76,businessmodel!F$22),0)=0,-businessmodel!F$7*(1+parameters!$B$13)^$B76,0)</f>
        <v>0</v>
      </c>
      <c r="H76" s="82">
        <f>IF(ROUNDDOWN(MOD($B76,businessmodel!G$22),0)=0,-businessmodel!G$7*(1+parameters!$B$13)^$B76,0)</f>
        <v>0</v>
      </c>
      <c r="I76" s="82">
        <f>IF(ROUNDDOWN(MOD($B76,businessmodel!H$22),0)=0,-businessmodel!H$7*(1+parameters!$B$13)^$B76,0)</f>
        <v>0</v>
      </c>
      <c r="J76" s="82">
        <f>IF(ROUNDDOWN(MOD($B76,businessmodel!I$22),0)=0,-businessmodel!I$7*(1+parameters!$B$13)^$B76,0)</f>
        <v>0</v>
      </c>
      <c r="K76" s="82">
        <f>IF(ROUNDDOWN(MOD($B76,businessmodel!J$22),0)=0,-businessmodel!J$7*(1+parameters!$B$13)^$B76,0)</f>
        <v>0</v>
      </c>
      <c r="L76" s="82">
        <f>IF(ROUNDDOWN(MOD($B76,businessmodel!K$22),0)=0,-businessmodel!K$7*(1+parameters!$B$13)^$B76,0)</f>
        <v>0</v>
      </c>
      <c r="M76" s="82">
        <f>IF(ROUNDDOWN(MOD($B76,businessmodel!L$22),0)=0,-businessmodel!L$7*(1+parameters!$B$13)^$B76,0)</f>
        <v>0</v>
      </c>
      <c r="N76" s="82">
        <f>IF(ROUNDDOWN(MOD($B76,businessmodel!M$22),0)=0,-businessmodel!M$7*(1+parameters!$B$13)^$B76,0)</f>
        <v>0</v>
      </c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</row>
    <row r="77" spans="2:44" ht="13.8">
      <c r="B77" s="99">
        <f t="shared" si="1"/>
        <v>33</v>
      </c>
      <c r="C77" s="82">
        <f>IF(ROUNDDOWN(MOD($B77,businessmodel!B$22),0)=0,-businessmodel!B$7*(1+parameters!$B$13)^$B77,0)</f>
        <v>0</v>
      </c>
      <c r="D77" s="82">
        <f>IF(ROUNDDOWN(MOD($B77,businessmodel!C$22),0)=0,-businessmodel!C$7*(1+parameters!$B$13)^$B77,0)</f>
        <v>0</v>
      </c>
      <c r="E77" s="82">
        <f>IF(ROUNDDOWN(MOD($B77,businessmodel!D$22),0)=0,-businessmodel!D$7*(1+parameters!$B$13)^$B77,0)</f>
        <v>0</v>
      </c>
      <c r="F77" s="82">
        <f>IF(ROUNDDOWN(MOD($B77,businessmodel!E$22),0)=0,-businessmodel!E$7*(1+parameters!$B$13)^$B77,0)</f>
        <v>0</v>
      </c>
      <c r="G77" s="82">
        <f>IF(ROUNDDOWN(MOD($B77,businessmodel!F$22),0)=0,-businessmodel!F$7*(1+parameters!$B$13)^$B77,0)</f>
        <v>0</v>
      </c>
      <c r="H77" s="82">
        <f>IF(ROUNDDOWN(MOD($B77,businessmodel!G$22),0)=0,-businessmodel!G$7*(1+parameters!$B$13)^$B77,0)</f>
        <v>0</v>
      </c>
      <c r="I77" s="82">
        <f>IF(ROUNDDOWN(MOD($B77,businessmodel!H$22),0)=0,-businessmodel!H$7*(1+parameters!$B$13)^$B77,0)</f>
        <v>0</v>
      </c>
      <c r="J77" s="82">
        <f>IF(ROUNDDOWN(MOD($B77,businessmodel!I$22),0)=0,-businessmodel!I$7*(1+parameters!$B$13)^$B77,0)</f>
        <v>0</v>
      </c>
      <c r="K77" s="82">
        <f>IF(ROUNDDOWN(MOD($B77,businessmodel!J$22),0)=0,-businessmodel!J$7*(1+parameters!$B$13)^$B77,0)</f>
        <v>0</v>
      </c>
      <c r="L77" s="82">
        <f>IF(ROUNDDOWN(MOD($B77,businessmodel!K$22),0)=0,-businessmodel!K$7*(1+parameters!$B$13)^$B77,0)</f>
        <v>0</v>
      </c>
      <c r="M77" s="82">
        <f>IF(ROUNDDOWN(MOD($B77,businessmodel!L$22),0)=0,-businessmodel!L$7*(1+parameters!$B$13)^$B77,0)</f>
        <v>0</v>
      </c>
      <c r="N77" s="82">
        <f>IF(ROUNDDOWN(MOD($B77,businessmodel!M$22),0)=0,-businessmodel!M$7*(1+parameters!$B$13)^$B77,0)</f>
        <v>0</v>
      </c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</row>
    <row r="78" spans="2:44" ht="13.8">
      <c r="B78" s="99">
        <f t="shared" si="1"/>
        <v>34</v>
      </c>
      <c r="C78" s="82">
        <f>IF(ROUNDDOWN(MOD($B78,businessmodel!B$22),0)=0,-businessmodel!B$7*(1+parameters!$B$13)^$B78,0)</f>
        <v>0</v>
      </c>
      <c r="D78" s="82">
        <f>IF(ROUNDDOWN(MOD($B78,businessmodel!C$22),0)=0,-businessmodel!C$7*(1+parameters!$B$13)^$B78,0)</f>
        <v>0</v>
      </c>
      <c r="E78" s="82">
        <f>IF(ROUNDDOWN(MOD($B78,businessmodel!D$22),0)=0,-businessmodel!D$7*(1+parameters!$B$13)^$B78,0)</f>
        <v>0</v>
      </c>
      <c r="F78" s="82">
        <f>IF(ROUNDDOWN(MOD($B78,businessmodel!E$22),0)=0,-businessmodel!E$7*(1+parameters!$B$13)^$B78,0)</f>
        <v>-275</v>
      </c>
      <c r="G78" s="82">
        <f>IF(ROUNDDOWN(MOD($B78,businessmodel!F$22),0)=0,-businessmodel!F$7*(1+parameters!$B$13)^$B78,0)</f>
        <v>0</v>
      </c>
      <c r="H78" s="82">
        <f>IF(ROUNDDOWN(MOD($B78,businessmodel!G$22),0)=0,-businessmodel!G$7*(1+parameters!$B$13)^$B78,0)</f>
        <v>0</v>
      </c>
      <c r="I78" s="82">
        <f>IF(ROUNDDOWN(MOD($B78,businessmodel!H$22),0)=0,-businessmodel!H$7*(1+parameters!$B$13)^$B78,0)</f>
        <v>0</v>
      </c>
      <c r="J78" s="82">
        <f>IF(ROUNDDOWN(MOD($B78,businessmodel!I$22),0)=0,-businessmodel!I$7*(1+parameters!$B$13)^$B78,0)</f>
        <v>0</v>
      </c>
      <c r="K78" s="82">
        <f>IF(ROUNDDOWN(MOD($B78,businessmodel!J$22),0)=0,-businessmodel!J$7*(1+parameters!$B$13)^$B78,0)</f>
        <v>0</v>
      </c>
      <c r="L78" s="82">
        <f>IF(ROUNDDOWN(MOD($B78,businessmodel!K$22),0)=0,-businessmodel!K$7*(1+parameters!$B$13)^$B78,0)</f>
        <v>0</v>
      </c>
      <c r="M78" s="82">
        <f>IF(ROUNDDOWN(MOD($B78,businessmodel!L$22),0)=0,-businessmodel!L$7*(1+parameters!$B$13)^$B78,0)</f>
        <v>0</v>
      </c>
      <c r="N78" s="82">
        <f>IF(ROUNDDOWN(MOD($B78,businessmodel!M$22),0)=0,-businessmodel!M$7*(1+parameters!$B$13)^$B78,0)</f>
        <v>-290</v>
      </c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</row>
    <row r="79" spans="2:44" ht="13.8">
      <c r="B79" s="99">
        <f t="shared" si="1"/>
        <v>35</v>
      </c>
      <c r="C79" s="82">
        <f>IF(ROUNDDOWN(MOD($B79,businessmodel!B$22),0)=0,-businessmodel!B$7*(1+parameters!$B$13)^$B79,0)</f>
        <v>-300</v>
      </c>
      <c r="D79" s="82">
        <f>IF(ROUNDDOWN(MOD($B79,businessmodel!C$22),0)=0,-businessmodel!C$7*(1+parameters!$B$13)^$B79,0)</f>
        <v>-600</v>
      </c>
      <c r="E79" s="82">
        <f>IF(ROUNDDOWN(MOD($B79,businessmodel!D$22),0)=0,-businessmodel!D$7*(1+parameters!$B$13)^$B79,0)</f>
        <v>0</v>
      </c>
      <c r="F79" s="82">
        <f>IF(ROUNDDOWN(MOD($B79,businessmodel!E$22),0)=0,-businessmodel!E$7*(1+parameters!$B$13)^$B79,0)</f>
        <v>0</v>
      </c>
      <c r="G79" s="82">
        <f>IF(ROUNDDOWN(MOD($B79,businessmodel!F$22),0)=0,-businessmodel!F$7*(1+parameters!$B$13)^$B79,0)</f>
        <v>-346</v>
      </c>
      <c r="H79" s="82">
        <f>IF(ROUNDDOWN(MOD($B79,businessmodel!G$22),0)=0,-businessmodel!G$7*(1+parameters!$B$13)^$B79,0)</f>
        <v>0</v>
      </c>
      <c r="I79" s="82">
        <f>IF(ROUNDDOWN(MOD($B79,businessmodel!H$22),0)=0,-businessmodel!H$7*(1+parameters!$B$13)^$B79,0)</f>
        <v>0</v>
      </c>
      <c r="J79" s="82">
        <f>IF(ROUNDDOWN(MOD($B79,businessmodel!I$22),0)=0,-businessmodel!I$7*(1+parameters!$B$13)^$B79,0)</f>
        <v>0</v>
      </c>
      <c r="K79" s="82">
        <f>IF(ROUNDDOWN(MOD($B79,businessmodel!J$22),0)=0,-businessmodel!J$7*(1+parameters!$B$13)^$B79,0)</f>
        <v>0</v>
      </c>
      <c r="L79" s="82">
        <f>IF(ROUNDDOWN(MOD($B79,businessmodel!K$22),0)=0,-businessmodel!K$7*(1+parameters!$B$13)^$B79,0)</f>
        <v>0</v>
      </c>
      <c r="M79" s="82">
        <f>IF(ROUNDDOWN(MOD($B79,businessmodel!L$22),0)=0,-businessmodel!L$7*(1+parameters!$B$13)^$B79,0)</f>
        <v>0</v>
      </c>
      <c r="N79" s="82">
        <f>IF(ROUNDDOWN(MOD($B79,businessmodel!M$22),0)=0,-businessmodel!M$7*(1+parameters!$B$13)^$B79,0)</f>
        <v>0</v>
      </c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</row>
    <row r="80" spans="2:44" ht="13.8">
      <c r="B80" s="99">
        <f t="shared" si="1"/>
        <v>36</v>
      </c>
      <c r="C80" s="82">
        <f>IF(ROUNDDOWN(MOD($B80,businessmodel!B$22),0)=0,-businessmodel!B$7*(1+parameters!$B$13)^$B80,0)</f>
        <v>0</v>
      </c>
      <c r="D80" s="82">
        <f>IF(ROUNDDOWN(MOD($B80,businessmodel!C$22),0)=0,-businessmodel!C$7*(1+parameters!$B$13)^$B80,0)</f>
        <v>0</v>
      </c>
      <c r="E80" s="82">
        <f>IF(ROUNDDOWN(MOD($B80,businessmodel!D$22),0)=0,-businessmodel!D$7*(1+parameters!$B$13)^$B80,0)</f>
        <v>0</v>
      </c>
      <c r="F80" s="82">
        <f>IF(ROUNDDOWN(MOD($B80,businessmodel!E$22),0)=0,-businessmodel!E$7*(1+parameters!$B$13)^$B80,0)</f>
        <v>0</v>
      </c>
      <c r="G80" s="82">
        <f>IF(ROUNDDOWN(MOD($B80,businessmodel!F$22),0)=0,-businessmodel!F$7*(1+parameters!$B$13)^$B80,0)</f>
        <v>0</v>
      </c>
      <c r="H80" s="82">
        <f>IF(ROUNDDOWN(MOD($B80,businessmodel!G$22),0)=0,-businessmodel!G$7*(1+parameters!$B$13)^$B80,0)</f>
        <v>0</v>
      </c>
      <c r="I80" s="82">
        <f>IF(ROUNDDOWN(MOD($B80,businessmodel!H$22),0)=0,-businessmodel!H$7*(1+parameters!$B$13)^$B80,0)</f>
        <v>0</v>
      </c>
      <c r="J80" s="82">
        <f>IF(ROUNDDOWN(MOD($B80,businessmodel!I$22),0)=0,-businessmodel!I$7*(1+parameters!$B$13)^$B80,0)</f>
        <v>0</v>
      </c>
      <c r="K80" s="82">
        <f>IF(ROUNDDOWN(MOD($B80,businessmodel!J$22),0)=0,-businessmodel!J$7*(1+parameters!$B$13)^$B80,0)</f>
        <v>0</v>
      </c>
      <c r="L80" s="82">
        <f>IF(ROUNDDOWN(MOD($B80,businessmodel!K$22),0)=0,-businessmodel!K$7*(1+parameters!$B$13)^$B80,0)</f>
        <v>0</v>
      </c>
      <c r="M80" s="82">
        <f>IF(ROUNDDOWN(MOD($B80,businessmodel!L$22),0)=0,-businessmodel!L$7*(1+parameters!$B$13)^$B80,0)</f>
        <v>0</v>
      </c>
      <c r="N80" s="82">
        <f>IF(ROUNDDOWN(MOD($B80,businessmodel!M$22),0)=0,-businessmodel!M$7*(1+parameters!$B$13)^$B80,0)</f>
        <v>0</v>
      </c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</row>
    <row r="81" spans="1:44" ht="13.8">
      <c r="B81" s="99">
        <f t="shared" si="1"/>
        <v>37</v>
      </c>
      <c r="C81" s="82">
        <f>IF(ROUNDDOWN(MOD($B81,businessmodel!B$22),0)=0,-businessmodel!B$7*(1+parameters!$B$13)^$B81,0)</f>
        <v>0</v>
      </c>
      <c r="D81" s="82">
        <f>IF(ROUNDDOWN(MOD($B81,businessmodel!C$22),0)=0,-businessmodel!C$7*(1+parameters!$B$13)^$B81,0)</f>
        <v>0</v>
      </c>
      <c r="E81" s="82">
        <f>IF(ROUNDDOWN(MOD($B81,businessmodel!D$22),0)=0,-businessmodel!D$7*(1+parameters!$B$13)^$B81,0)</f>
        <v>0</v>
      </c>
      <c r="F81" s="82">
        <f>IF(ROUNDDOWN(MOD($B81,businessmodel!E$22),0)=0,-businessmodel!E$7*(1+parameters!$B$13)^$B81,0)</f>
        <v>0</v>
      </c>
      <c r="G81" s="82">
        <f>IF(ROUNDDOWN(MOD($B81,businessmodel!F$22),0)=0,-businessmodel!F$7*(1+parameters!$B$13)^$B81,0)</f>
        <v>0</v>
      </c>
      <c r="H81" s="82">
        <f>IF(ROUNDDOWN(MOD($B81,businessmodel!G$22),0)=0,-businessmodel!G$7*(1+parameters!$B$13)^$B81,0)</f>
        <v>0</v>
      </c>
      <c r="I81" s="82">
        <f>IF(ROUNDDOWN(MOD($B81,businessmodel!H$22),0)=0,-businessmodel!H$7*(1+parameters!$B$13)^$B81,0)</f>
        <v>0</v>
      </c>
      <c r="J81" s="82">
        <f>IF(ROUNDDOWN(MOD($B81,businessmodel!I$22),0)=0,-businessmodel!I$7*(1+parameters!$B$13)^$B81,0)</f>
        <v>0</v>
      </c>
      <c r="K81" s="82">
        <f>IF(ROUNDDOWN(MOD($B81,businessmodel!J$22),0)=0,-businessmodel!J$7*(1+parameters!$B$13)^$B81,0)</f>
        <v>0</v>
      </c>
      <c r="L81" s="82">
        <f>IF(ROUNDDOWN(MOD($B81,businessmodel!K$22),0)=0,-businessmodel!K$7*(1+parameters!$B$13)^$B81,0)</f>
        <v>0</v>
      </c>
      <c r="M81" s="82">
        <f>IF(ROUNDDOWN(MOD($B81,businessmodel!L$22),0)=0,-businessmodel!L$7*(1+parameters!$B$13)^$B81,0)</f>
        <v>0</v>
      </c>
      <c r="N81" s="82">
        <f>IF(ROUNDDOWN(MOD($B81,businessmodel!M$22),0)=0,-businessmodel!M$7*(1+parameters!$B$13)^$B81,0)</f>
        <v>0</v>
      </c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</row>
    <row r="82" spans="1:44" ht="13.8">
      <c r="B82" s="99">
        <f t="shared" si="1"/>
        <v>38</v>
      </c>
      <c r="C82" s="82">
        <f>IF(ROUNDDOWN(MOD($B82,businessmodel!B$22),0)=0,-businessmodel!B$7*(1+parameters!$B$13)^$B82,0)</f>
        <v>0</v>
      </c>
      <c r="D82" s="82">
        <f>IF(ROUNDDOWN(MOD($B82,businessmodel!C$22),0)=0,-businessmodel!C$7*(1+parameters!$B$13)^$B82,0)</f>
        <v>0</v>
      </c>
      <c r="E82" s="82">
        <f>IF(ROUNDDOWN(MOD($B82,businessmodel!D$22),0)=0,-businessmodel!D$7*(1+parameters!$B$13)^$B82,0)</f>
        <v>0</v>
      </c>
      <c r="F82" s="82">
        <f>IF(ROUNDDOWN(MOD($B82,businessmodel!E$22),0)=0,-businessmodel!E$7*(1+parameters!$B$13)^$B82,0)</f>
        <v>0</v>
      </c>
      <c r="G82" s="82">
        <f>IF(ROUNDDOWN(MOD($B82,businessmodel!F$22),0)=0,-businessmodel!F$7*(1+parameters!$B$13)^$B82,0)</f>
        <v>0</v>
      </c>
      <c r="H82" s="82">
        <f>IF(ROUNDDOWN(MOD($B82,businessmodel!G$22),0)=0,-businessmodel!G$7*(1+parameters!$B$13)^$B82,0)</f>
        <v>0</v>
      </c>
      <c r="I82" s="82">
        <f>IF(ROUNDDOWN(MOD($B82,businessmodel!H$22),0)=0,-businessmodel!H$7*(1+parameters!$B$13)^$B82,0)</f>
        <v>0</v>
      </c>
      <c r="J82" s="82">
        <f>IF(ROUNDDOWN(MOD($B82,businessmodel!I$22),0)=0,-businessmodel!I$7*(1+parameters!$B$13)^$B82,0)</f>
        <v>0</v>
      </c>
      <c r="K82" s="82">
        <f>IF(ROUNDDOWN(MOD($B82,businessmodel!J$22),0)=0,-businessmodel!J$7*(1+parameters!$B$13)^$B82,0)</f>
        <v>-188</v>
      </c>
      <c r="L82" s="82">
        <f>IF(ROUNDDOWN(MOD($B82,businessmodel!K$22),0)=0,-businessmodel!K$7*(1+parameters!$B$13)^$B82,0)</f>
        <v>0</v>
      </c>
      <c r="M82" s="82">
        <f>IF(ROUNDDOWN(MOD($B82,businessmodel!L$22),0)=0,-businessmodel!L$7*(1+parameters!$B$13)^$B82,0)</f>
        <v>0</v>
      </c>
      <c r="N82" s="82">
        <f>IF(ROUNDDOWN(MOD($B82,businessmodel!M$22),0)=0,-businessmodel!M$7*(1+parameters!$B$13)^$B82,0)</f>
        <v>0</v>
      </c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</row>
    <row r="83" spans="1:44" ht="13.8">
      <c r="B83" s="99">
        <f t="shared" si="1"/>
        <v>39</v>
      </c>
      <c r="C83" s="82">
        <f>IF(ROUNDDOWN(MOD($B83,businessmodel!B$22),0)=0,-businessmodel!B$7*(1+parameters!$B$13)^$B83,0)</f>
        <v>0</v>
      </c>
      <c r="D83" s="82">
        <f>IF(ROUNDDOWN(MOD($B83,businessmodel!C$22),0)=0,-businessmodel!C$7*(1+parameters!$B$13)^$B83,0)</f>
        <v>0</v>
      </c>
      <c r="E83" s="82">
        <f>IF(ROUNDDOWN(MOD($B83,businessmodel!D$22),0)=0,-businessmodel!D$7*(1+parameters!$B$13)^$B83,0)</f>
        <v>0</v>
      </c>
      <c r="F83" s="82">
        <f>IF(ROUNDDOWN(MOD($B83,businessmodel!E$22),0)=0,-businessmodel!E$7*(1+parameters!$B$13)^$B83,0)</f>
        <v>0</v>
      </c>
      <c r="G83" s="82">
        <f>IF(ROUNDDOWN(MOD($B83,businessmodel!F$22),0)=0,-businessmodel!F$7*(1+parameters!$B$13)^$B83,0)</f>
        <v>0</v>
      </c>
      <c r="H83" s="82">
        <f>IF(ROUNDDOWN(MOD($B83,businessmodel!G$22),0)=0,-businessmodel!G$7*(1+parameters!$B$13)^$B83,0)</f>
        <v>0</v>
      </c>
      <c r="I83" s="82">
        <f>IF(ROUNDDOWN(MOD($B83,businessmodel!H$22),0)=0,-businessmodel!H$7*(1+parameters!$B$13)^$B83,0)</f>
        <v>0</v>
      </c>
      <c r="J83" s="82">
        <f>IF(ROUNDDOWN(MOD($B83,businessmodel!I$22),0)=0,-businessmodel!I$7*(1+parameters!$B$13)^$B83,0)</f>
        <v>0</v>
      </c>
      <c r="K83" s="82">
        <f>IF(ROUNDDOWN(MOD($B83,businessmodel!J$22),0)=0,-businessmodel!J$7*(1+parameters!$B$13)^$B83,0)</f>
        <v>0</v>
      </c>
      <c r="L83" s="82">
        <f>IF(ROUNDDOWN(MOD($B83,businessmodel!K$22),0)=0,-businessmodel!K$7*(1+parameters!$B$13)^$B83,0)</f>
        <v>0</v>
      </c>
      <c r="M83" s="82">
        <f>IF(ROUNDDOWN(MOD($B83,businessmodel!L$22),0)=0,-businessmodel!L$7*(1+parameters!$B$13)^$B83,0)</f>
        <v>0</v>
      </c>
      <c r="N83" s="82">
        <f>IF(ROUNDDOWN(MOD($B83,businessmodel!M$22),0)=0,-businessmodel!M$7*(1+parameters!$B$13)^$B83,0)</f>
        <v>0</v>
      </c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</row>
    <row r="84" spans="1:44" ht="13.8">
      <c r="B84" s="99">
        <f t="shared" si="1"/>
        <v>40</v>
      </c>
      <c r="C84" s="82">
        <f>IF(ROUNDDOWN(MOD($B84,businessmodel!B$22),0)=0,-businessmodel!B$7*(1+parameters!$B$13)^$B84,0)</f>
        <v>0</v>
      </c>
      <c r="D84" s="82">
        <f>IF(ROUNDDOWN(MOD($B84,businessmodel!C$22),0)=0,-businessmodel!C$7*(1+parameters!$B$13)^$B84,0)</f>
        <v>0</v>
      </c>
      <c r="E84" s="82">
        <f>IF(ROUNDDOWN(MOD($B84,businessmodel!D$22),0)=0,-businessmodel!D$7*(1+parameters!$B$13)^$B84,0)</f>
        <v>0</v>
      </c>
      <c r="F84" s="82">
        <f>IF(ROUNDDOWN(MOD($B84,businessmodel!E$22),0)=0,-businessmodel!E$7*(1+parameters!$B$13)^$B84,0)</f>
        <v>0</v>
      </c>
      <c r="G84" s="82">
        <f>IF(ROUNDDOWN(MOD($B84,businessmodel!F$22),0)=0,-businessmodel!F$7*(1+parameters!$B$13)^$B84,0)</f>
        <v>0</v>
      </c>
      <c r="H84" s="82">
        <f>IF(ROUNDDOWN(MOD($B84,businessmodel!G$22),0)=0,-businessmodel!G$7*(1+parameters!$B$13)^$B84,0)</f>
        <v>0</v>
      </c>
      <c r="I84" s="82">
        <f>IF(ROUNDDOWN(MOD($B84,businessmodel!H$22),0)=0,-businessmodel!H$7*(1+parameters!$B$13)^$B84,0)</f>
        <v>0</v>
      </c>
      <c r="J84" s="82">
        <f>IF(ROUNDDOWN(MOD($B84,businessmodel!I$22),0)=0,-businessmodel!I$7*(1+parameters!$B$13)^$B84,0)</f>
        <v>0</v>
      </c>
      <c r="K84" s="82">
        <f>IF(ROUNDDOWN(MOD($B84,businessmodel!J$22),0)=0,-businessmodel!J$7*(1+parameters!$B$13)^$B84,0)</f>
        <v>0</v>
      </c>
      <c r="L84" s="82">
        <f>IF(ROUNDDOWN(MOD($B84,businessmodel!K$22),0)=0,-businessmodel!K$7*(1+parameters!$B$13)^$B84,0)</f>
        <v>0</v>
      </c>
      <c r="M84" s="82">
        <f>IF(ROUNDDOWN(MOD($B84,businessmodel!L$22),0)=0,-businessmodel!L$7*(1+parameters!$B$13)^$B84,0)</f>
        <v>0</v>
      </c>
      <c r="N84" s="82">
        <f>IF(ROUNDDOWN(MOD($B84,businessmodel!M$22),0)=0,-businessmodel!M$7*(1+parameters!$B$13)^$B84,0)</f>
        <v>0</v>
      </c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</row>
    <row r="86" spans="1:44">
      <c r="A86" s="86" t="s">
        <v>145</v>
      </c>
      <c r="B86" s="99">
        <v>1</v>
      </c>
      <c r="C86" s="85">
        <f>C45-C2</f>
        <v>-244.38</v>
      </c>
      <c r="D86" s="85">
        <f t="shared" ref="D86:H86" si="2">D45-D2</f>
        <v>-580.42999999999995</v>
      </c>
      <c r="E86" s="85">
        <f t="shared" si="2"/>
        <v>-186.61</v>
      </c>
      <c r="F86" s="85">
        <f t="shared" si="2"/>
        <v>-241.01</v>
      </c>
      <c r="G86" s="85">
        <f t="shared" si="2"/>
        <v>-281.11</v>
      </c>
      <c r="H86" s="85">
        <f t="shared" si="2"/>
        <v>-136.4</v>
      </c>
      <c r="I86" s="85">
        <f t="shared" ref="I86:N86" si="3">I45-I2</f>
        <v>-537.34</v>
      </c>
      <c r="J86" s="85">
        <f t="shared" si="3"/>
        <v>-174.25</v>
      </c>
      <c r="K86" s="85">
        <f t="shared" si="3"/>
        <v>-151.94999999999999</v>
      </c>
      <c r="L86" s="85">
        <f t="shared" si="3"/>
        <v>-197.64</v>
      </c>
      <c r="M86" s="85">
        <f t="shared" si="3"/>
        <v>-214.7</v>
      </c>
      <c r="N86" s="85">
        <f t="shared" si="3"/>
        <v>-244.68</v>
      </c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</row>
    <row r="87" spans="1:44">
      <c r="B87" s="99">
        <f t="shared" ref="B87:B125" si="4">B86+1</f>
        <v>2</v>
      </c>
      <c r="C87" s="85">
        <f t="shared" ref="C87:H125" si="5">C46-C3</f>
        <v>57.288599999999995</v>
      </c>
      <c r="D87" s="85">
        <f t="shared" si="5"/>
        <v>20.1571</v>
      </c>
      <c r="E87" s="85">
        <f t="shared" si="5"/>
        <v>13.791699999999999</v>
      </c>
      <c r="F87" s="85">
        <f t="shared" si="5"/>
        <v>35.009699999999995</v>
      </c>
      <c r="G87" s="85">
        <f t="shared" si="5"/>
        <v>66.836699999999993</v>
      </c>
      <c r="H87" s="85">
        <f t="shared" si="5"/>
        <v>21.218</v>
      </c>
      <c r="I87" s="85">
        <f t="shared" ref="I87:N87" si="6">I46-I3</f>
        <v>23.3398</v>
      </c>
      <c r="J87" s="85">
        <f t="shared" si="6"/>
        <v>26.522499999999997</v>
      </c>
      <c r="K87" s="85">
        <f t="shared" si="6"/>
        <v>37.131499999999996</v>
      </c>
      <c r="L87" s="85">
        <f t="shared" si="6"/>
        <v>12.730799999999999</v>
      </c>
      <c r="M87" s="85">
        <f t="shared" si="6"/>
        <v>10.609</v>
      </c>
      <c r="N87" s="85">
        <f t="shared" si="6"/>
        <v>46.679600000000001</v>
      </c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</row>
    <row r="88" spans="1:44">
      <c r="B88" s="99">
        <f t="shared" si="4"/>
        <v>3</v>
      </c>
      <c r="C88" s="85">
        <f t="shared" si="5"/>
        <v>59.007258</v>
      </c>
      <c r="D88" s="85">
        <f t="shared" si="5"/>
        <v>20.761813</v>
      </c>
      <c r="E88" s="85">
        <f t="shared" si="5"/>
        <v>14.205451</v>
      </c>
      <c r="F88" s="85">
        <f t="shared" si="5"/>
        <v>36.059990999999997</v>
      </c>
      <c r="G88" s="85">
        <f t="shared" si="5"/>
        <v>68.841801000000004</v>
      </c>
      <c r="H88" s="85">
        <f t="shared" si="5"/>
        <v>21.85454</v>
      </c>
      <c r="I88" s="85">
        <f t="shared" ref="I88:N88" si="7">I47-I4</f>
        <v>24.039994</v>
      </c>
      <c r="J88" s="85">
        <f t="shared" si="7"/>
        <v>27.318175</v>
      </c>
      <c r="K88" s="85">
        <f t="shared" si="7"/>
        <v>38.245445000000004</v>
      </c>
      <c r="L88" s="85">
        <f t="shared" si="7"/>
        <v>13.112724</v>
      </c>
      <c r="M88" s="85">
        <f t="shared" si="7"/>
        <v>10.92727</v>
      </c>
      <c r="N88" s="85">
        <f t="shared" si="7"/>
        <v>48.079988</v>
      </c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</row>
    <row r="89" spans="1:44">
      <c r="B89" s="99">
        <f t="shared" si="4"/>
        <v>4</v>
      </c>
      <c r="C89" s="85">
        <f t="shared" si="5"/>
        <v>60.777475739999993</v>
      </c>
      <c r="D89" s="85">
        <f t="shared" si="5"/>
        <v>21.384667389999997</v>
      </c>
      <c r="E89" s="85">
        <f t="shared" si="5"/>
        <v>14.631614529999998</v>
      </c>
      <c r="F89" s="85">
        <f t="shared" si="5"/>
        <v>37.141790729999997</v>
      </c>
      <c r="G89" s="85">
        <f t="shared" si="5"/>
        <v>70.907055029999995</v>
      </c>
      <c r="H89" s="85">
        <f t="shared" si="5"/>
        <v>22.510176199999997</v>
      </c>
      <c r="I89" s="85">
        <f t="shared" ref="I89:N89" si="8">I48-I5</f>
        <v>24.761193819999999</v>
      </c>
      <c r="J89" s="85">
        <f t="shared" si="8"/>
        <v>28.137720249999997</v>
      </c>
      <c r="K89" s="85">
        <f t="shared" si="8"/>
        <v>39.392808349999996</v>
      </c>
      <c r="L89" s="85">
        <f t="shared" si="8"/>
        <v>13.506105719999999</v>
      </c>
      <c r="M89" s="85">
        <f t="shared" si="8"/>
        <v>11.255088099999998</v>
      </c>
      <c r="N89" s="85">
        <f t="shared" si="8"/>
        <v>49.522387639999998</v>
      </c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</row>
    <row r="90" spans="1:44">
      <c r="B90" s="99">
        <f t="shared" si="4"/>
        <v>5</v>
      </c>
      <c r="C90" s="85">
        <f t="shared" si="5"/>
        <v>62.60080001219999</v>
      </c>
      <c r="D90" s="85">
        <f t="shared" si="5"/>
        <v>22.026207411699996</v>
      </c>
      <c r="E90" s="85">
        <f t="shared" si="5"/>
        <v>15.070562965899999</v>
      </c>
      <c r="F90" s="85">
        <f t="shared" si="5"/>
        <v>38.256044451899996</v>
      </c>
      <c r="G90" s="85">
        <f t="shared" si="5"/>
        <v>73.034266680899989</v>
      </c>
      <c r="H90" s="85">
        <f t="shared" si="5"/>
        <v>23.185481485999997</v>
      </c>
      <c r="I90" s="85">
        <f t="shared" ref="I90:N90" si="9">I49-I6</f>
        <v>25.504029634599995</v>
      </c>
      <c r="J90" s="85">
        <f t="shared" si="9"/>
        <v>28.981851857499997</v>
      </c>
      <c r="K90" s="85">
        <f t="shared" si="9"/>
        <v>40.574592600499997</v>
      </c>
      <c r="L90" s="85">
        <f t="shared" si="9"/>
        <v>13.911288891599998</v>
      </c>
      <c r="M90" s="85">
        <f t="shared" si="9"/>
        <v>11.592740742999998</v>
      </c>
      <c r="N90" s="85">
        <f t="shared" si="9"/>
        <v>51.00805926919999</v>
      </c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</row>
    <row r="91" spans="1:44">
      <c r="B91" s="99">
        <f t="shared" si="4"/>
        <v>6</v>
      </c>
      <c r="C91" s="85">
        <f t="shared" si="5"/>
        <v>64.478824012565994</v>
      </c>
      <c r="D91" s="85">
        <f t="shared" si="5"/>
        <v>22.686993634050999</v>
      </c>
      <c r="E91" s="85">
        <f t="shared" si="5"/>
        <v>15.522679854877</v>
      </c>
      <c r="F91" s="85">
        <f t="shared" si="5"/>
        <v>39.403725785456999</v>
      </c>
      <c r="G91" s="85">
        <f t="shared" si="5"/>
        <v>75.225294681327</v>
      </c>
      <c r="H91" s="85">
        <f t="shared" si="5"/>
        <v>23.881045930579997</v>
      </c>
      <c r="I91" s="85">
        <f t="shared" ref="I91:N91" si="10">I50-I7</f>
        <v>26.269150523637997</v>
      </c>
      <c r="J91" s="85">
        <f t="shared" si="10"/>
        <v>29.851307413224998</v>
      </c>
      <c r="K91" s="85">
        <f t="shared" si="10"/>
        <v>41.791830378514994</v>
      </c>
      <c r="L91" s="85">
        <f t="shared" si="10"/>
        <v>14.328627558348</v>
      </c>
      <c r="M91" s="85">
        <f t="shared" si="10"/>
        <v>11.940522965289999</v>
      </c>
      <c r="N91" s="85">
        <f t="shared" si="10"/>
        <v>52.538301047275993</v>
      </c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</row>
    <row r="92" spans="1:44">
      <c r="B92" s="99">
        <f t="shared" si="4"/>
        <v>7</v>
      </c>
      <c r="C92" s="85">
        <f t="shared" si="5"/>
        <v>66.413188732942984</v>
      </c>
      <c r="D92" s="85">
        <f t="shared" si="5"/>
        <v>23.367603443072529</v>
      </c>
      <c r="E92" s="85">
        <f t="shared" si="5"/>
        <v>15.988360250523311</v>
      </c>
      <c r="F92" s="85">
        <f t="shared" si="5"/>
        <v>40.58583755902071</v>
      </c>
      <c r="G92" s="85">
        <f t="shared" si="5"/>
        <v>77.482053521766815</v>
      </c>
      <c r="H92" s="85">
        <f t="shared" si="5"/>
        <v>24.5974773084974</v>
      </c>
      <c r="I92" s="85">
        <f t="shared" ref="I92:N92" si="11">I51-I8</f>
        <v>27.057225039347138</v>
      </c>
      <c r="J92" s="85">
        <f t="shared" si="11"/>
        <v>30.74684663562175</v>
      </c>
      <c r="K92" s="85">
        <f t="shared" si="11"/>
        <v>43.045585289870452</v>
      </c>
      <c r="L92" s="85">
        <f t="shared" si="11"/>
        <v>14.75848638509844</v>
      </c>
      <c r="M92" s="85">
        <f t="shared" si="11"/>
        <v>12.2987386542487</v>
      </c>
      <c r="N92" s="85">
        <f t="shared" si="11"/>
        <v>54.114450078694276</v>
      </c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</row>
    <row r="93" spans="1:44">
      <c r="B93" s="99">
        <f t="shared" si="4"/>
        <v>8</v>
      </c>
      <c r="C93" s="85">
        <f t="shared" si="5"/>
        <v>68.405584394931253</v>
      </c>
      <c r="D93" s="85">
        <f t="shared" si="5"/>
        <v>24.068631546364703</v>
      </c>
      <c r="E93" s="85">
        <f t="shared" si="5"/>
        <v>16.468011058039007</v>
      </c>
      <c r="F93" s="85">
        <f t="shared" si="5"/>
        <v>41.803412685791329</v>
      </c>
      <c r="G93" s="85">
        <f t="shared" si="5"/>
        <v>79.8065151274198</v>
      </c>
      <c r="H93" s="85">
        <f t="shared" si="5"/>
        <v>25.335401627752319</v>
      </c>
      <c r="I93" s="85">
        <f t="shared" ref="I93:N93" si="12">I52-I9</f>
        <v>27.86894179052755</v>
      </c>
      <c r="J93" s="85">
        <f t="shared" si="12"/>
        <v>31.669252034690398</v>
      </c>
      <c r="K93" s="85">
        <f t="shared" si="12"/>
        <v>44.336952848566554</v>
      </c>
      <c r="L93" s="85">
        <f t="shared" si="12"/>
        <v>15.201240976651391</v>
      </c>
      <c r="M93" s="85">
        <f t="shared" si="12"/>
        <v>12.667700813876159</v>
      </c>
      <c r="N93" s="85">
        <f t="shared" si="12"/>
        <v>55.737883581055101</v>
      </c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</row>
    <row r="94" spans="1:44">
      <c r="B94" s="99">
        <f t="shared" si="4"/>
        <v>9</v>
      </c>
      <c r="C94" s="85">
        <f t="shared" si="5"/>
        <v>70.457751926779196</v>
      </c>
      <c r="D94" s="85">
        <f t="shared" si="5"/>
        <v>24.790690492755644</v>
      </c>
      <c r="E94" s="85">
        <f t="shared" si="5"/>
        <v>16.962051389780179</v>
      </c>
      <c r="F94" s="85">
        <f t="shared" si="5"/>
        <v>43.05751506636507</v>
      </c>
      <c r="G94" s="85">
        <f t="shared" si="5"/>
        <v>82.200710581242404</v>
      </c>
      <c r="H94" s="85">
        <f t="shared" si="5"/>
        <v>26.095463676584888</v>
      </c>
      <c r="I94" s="85">
        <f t="shared" ref="I94:N94" si="13">I53-I10</f>
        <v>28.705010044243377</v>
      </c>
      <c r="J94" s="85">
        <f t="shared" si="13"/>
        <v>32.619329595731109</v>
      </c>
      <c r="K94" s="85">
        <f t="shared" si="13"/>
        <v>45.667061434023559</v>
      </c>
      <c r="L94" s="85">
        <f t="shared" si="13"/>
        <v>15.657278205950934</v>
      </c>
      <c r="M94" s="85">
        <f t="shared" si="13"/>
        <v>13.047731838292444</v>
      </c>
      <c r="N94" s="85">
        <f t="shared" si="13"/>
        <v>57.410020088486753</v>
      </c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</row>
    <row r="95" spans="1:44">
      <c r="B95" s="99">
        <f t="shared" si="4"/>
        <v>10</v>
      </c>
      <c r="C95" s="85">
        <f t="shared" si="5"/>
        <v>180.08479483211232</v>
      </c>
      <c r="D95" s="85">
        <f t="shared" si="5"/>
        <v>495.90514397798091</v>
      </c>
      <c r="E95" s="85">
        <f t="shared" si="5"/>
        <v>151.86255086588577</v>
      </c>
      <c r="F95" s="85">
        <f t="shared" si="5"/>
        <v>178.74087845276821</v>
      </c>
      <c r="G95" s="85">
        <f t="shared" si="5"/>
        <v>219.05836983309186</v>
      </c>
      <c r="H95" s="85">
        <f t="shared" si="5"/>
        <v>107.51331034752974</v>
      </c>
      <c r="I95" s="85">
        <f t="shared" ref="I95:N95" si="14">I54-I11</f>
        <v>96.761979312776774</v>
      </c>
      <c r="J95" s="85">
        <f t="shared" si="14"/>
        <v>100.79372845080914</v>
      </c>
      <c r="K95" s="85">
        <f t="shared" si="14"/>
        <v>127.67205603769156</v>
      </c>
      <c r="L95" s="85">
        <f t="shared" si="14"/>
        <v>96.761979312776759</v>
      </c>
      <c r="M95" s="85">
        <f t="shared" si="14"/>
        <v>80.634982760647318</v>
      </c>
      <c r="N95" s="85">
        <f t="shared" si="14"/>
        <v>260.71977759275961</v>
      </c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</row>
    <row r="96" spans="1:44">
      <c r="B96" s="99">
        <f t="shared" si="4"/>
        <v>11</v>
      </c>
      <c r="C96" s="85">
        <f t="shared" si="5"/>
        <v>74.74862901912006</v>
      </c>
      <c r="D96" s="85">
        <f t="shared" si="5"/>
        <v>26.300443543764466</v>
      </c>
      <c r="E96" s="85">
        <f t="shared" si="5"/>
        <v>17.995040319417789</v>
      </c>
      <c r="F96" s="85">
        <f t="shared" si="5"/>
        <v>45.679717733906699</v>
      </c>
      <c r="G96" s="85">
        <f t="shared" si="5"/>
        <v>87.206733855640067</v>
      </c>
      <c r="H96" s="85">
        <f t="shared" si="5"/>
        <v>27.68467741448891</v>
      </c>
      <c r="I96" s="85">
        <f t="shared" ref="I96:N96" si="15">I55-I12</f>
        <v>30.453145155937801</v>
      </c>
      <c r="J96" s="85">
        <f t="shared" si="15"/>
        <v>34.605846768111135</v>
      </c>
      <c r="K96" s="85">
        <f t="shared" si="15"/>
        <v>48.448185475355594</v>
      </c>
      <c r="L96" s="85">
        <f t="shared" si="15"/>
        <v>16.610806448693346</v>
      </c>
      <c r="M96" s="85">
        <f t="shared" si="15"/>
        <v>13.842338707244455</v>
      </c>
      <c r="N96" s="85">
        <f t="shared" si="15"/>
        <v>60.906290311875601</v>
      </c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</row>
    <row r="97" spans="2:44">
      <c r="B97" s="99">
        <f t="shared" si="4"/>
        <v>12</v>
      </c>
      <c r="C97" s="85">
        <f t="shared" si="5"/>
        <v>-223.00891211030637</v>
      </c>
      <c r="D97" s="85">
        <f t="shared" si="5"/>
        <v>-572.91054314992266</v>
      </c>
      <c r="E97" s="85">
        <f t="shared" si="5"/>
        <v>18.534891529000323</v>
      </c>
      <c r="F97" s="85">
        <f t="shared" si="5"/>
        <v>47.050109265923894</v>
      </c>
      <c r="G97" s="85">
        <f t="shared" si="5"/>
        <v>89.822935871309255</v>
      </c>
      <c r="H97" s="85">
        <f t="shared" si="5"/>
        <v>28.515217736923574</v>
      </c>
      <c r="I97" s="85">
        <f t="shared" ref="I97:N97" si="16">I56-I13</f>
        <v>31.366739510615929</v>
      </c>
      <c r="J97" s="85">
        <f t="shared" si="16"/>
        <v>35.644022171154468</v>
      </c>
      <c r="K97" s="85">
        <f t="shared" si="16"/>
        <v>49.901631039616255</v>
      </c>
      <c r="L97" s="85">
        <f t="shared" si="16"/>
        <v>17.109130642154142</v>
      </c>
      <c r="M97" s="85">
        <f t="shared" si="16"/>
        <v>14.257608868461787</v>
      </c>
      <c r="N97" s="85">
        <f t="shared" si="16"/>
        <v>62.733479021231858</v>
      </c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</row>
    <row r="98" spans="2:44">
      <c r="B98" s="99">
        <f t="shared" si="4"/>
        <v>13</v>
      </c>
      <c r="C98" s="85">
        <f t="shared" si="5"/>
        <v>79.300820526384456</v>
      </c>
      <c r="D98" s="85">
        <f t="shared" si="5"/>
        <v>27.902140555579713</v>
      </c>
      <c r="E98" s="85">
        <f t="shared" si="5"/>
        <v>19.090938274870332</v>
      </c>
      <c r="F98" s="85">
        <f t="shared" si="5"/>
        <v>48.461612543901609</v>
      </c>
      <c r="G98" s="85">
        <f t="shared" si="5"/>
        <v>92.517623947448527</v>
      </c>
      <c r="H98" s="85">
        <f t="shared" si="5"/>
        <v>29.370674269031277</v>
      </c>
      <c r="I98" s="85">
        <f t="shared" ref="I98:N98" si="17">I57-I14</f>
        <v>32.307741695934403</v>
      </c>
      <c r="J98" s="85">
        <f t="shared" si="17"/>
        <v>36.713342836289101</v>
      </c>
      <c r="K98" s="85">
        <f t="shared" si="17"/>
        <v>51.398679970804736</v>
      </c>
      <c r="L98" s="85">
        <f t="shared" si="17"/>
        <v>17.622404561418769</v>
      </c>
      <c r="M98" s="85">
        <f t="shared" si="17"/>
        <v>14.685337134515638</v>
      </c>
      <c r="N98" s="85">
        <f t="shared" si="17"/>
        <v>64.615483391868807</v>
      </c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</row>
    <row r="99" spans="2:44">
      <c r="B99" s="99">
        <f t="shared" si="4"/>
        <v>14</v>
      </c>
      <c r="C99" s="85">
        <f t="shared" si="5"/>
        <v>81.679845142175992</v>
      </c>
      <c r="D99" s="85">
        <f t="shared" si="5"/>
        <v>28.73920477224711</v>
      </c>
      <c r="E99" s="85">
        <f t="shared" si="5"/>
        <v>-180.33633357688356</v>
      </c>
      <c r="F99" s="85">
        <f t="shared" si="5"/>
        <v>49.915460920218663</v>
      </c>
      <c r="G99" s="85">
        <f t="shared" si="5"/>
        <v>95.293152665872</v>
      </c>
      <c r="H99" s="85">
        <f t="shared" si="5"/>
        <v>30.251794497102221</v>
      </c>
      <c r="I99" s="85">
        <f t="shared" ref="I99:N99" si="18">I58-I15</f>
        <v>33.27697394681244</v>
      </c>
      <c r="J99" s="85">
        <f t="shared" si="18"/>
        <v>37.814743121377774</v>
      </c>
      <c r="K99" s="85">
        <f t="shared" si="18"/>
        <v>52.940640369928886</v>
      </c>
      <c r="L99" s="85">
        <f t="shared" si="18"/>
        <v>18.151076698261331</v>
      </c>
      <c r="M99" s="85">
        <f t="shared" si="18"/>
        <v>15.125897248551111</v>
      </c>
      <c r="N99" s="85">
        <f t="shared" si="18"/>
        <v>66.55394789362488</v>
      </c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</row>
    <row r="100" spans="2:44">
      <c r="B100" s="99">
        <f t="shared" si="4"/>
        <v>15</v>
      </c>
      <c r="C100" s="85">
        <f t="shared" si="5"/>
        <v>84.130240496441274</v>
      </c>
      <c r="D100" s="85">
        <f t="shared" si="5"/>
        <v>29.601380915414524</v>
      </c>
      <c r="E100" s="85">
        <f t="shared" si="5"/>
        <v>20.253576415809938</v>
      </c>
      <c r="F100" s="85">
        <f t="shared" si="5"/>
        <v>51.41292474782523</v>
      </c>
      <c r="G100" s="85">
        <f t="shared" si="5"/>
        <v>98.151947245848163</v>
      </c>
      <c r="H100" s="85">
        <f t="shared" si="5"/>
        <v>31.159348332015288</v>
      </c>
      <c r="I100" s="85">
        <f t="shared" ref="I100:N100" si="19">I59-I16</f>
        <v>34.27528316521682</v>
      </c>
      <c r="J100" s="85">
        <f t="shared" si="19"/>
        <v>38.949185415019109</v>
      </c>
      <c r="K100" s="85">
        <f t="shared" si="19"/>
        <v>54.528859581026758</v>
      </c>
      <c r="L100" s="85">
        <f t="shared" si="19"/>
        <v>18.695608999209174</v>
      </c>
      <c r="M100" s="85">
        <f t="shared" si="19"/>
        <v>15.579674166007644</v>
      </c>
      <c r="N100" s="85">
        <f t="shared" si="19"/>
        <v>68.550566330433639</v>
      </c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</row>
    <row r="101" spans="2:44">
      <c r="B101" s="99">
        <f t="shared" si="4"/>
        <v>16</v>
      </c>
      <c r="C101" s="85">
        <f t="shared" si="5"/>
        <v>86.654147711334502</v>
      </c>
      <c r="D101" s="85">
        <f t="shared" si="5"/>
        <v>30.489422342876953</v>
      </c>
      <c r="E101" s="85">
        <f t="shared" si="5"/>
        <v>20.861183708284234</v>
      </c>
      <c r="F101" s="85">
        <f t="shared" si="5"/>
        <v>52.955312490259971</v>
      </c>
      <c r="G101" s="85">
        <f t="shared" si="5"/>
        <v>101.09650566322358</v>
      </c>
      <c r="H101" s="85">
        <f t="shared" si="5"/>
        <v>32.094128781975741</v>
      </c>
      <c r="I101" s="85">
        <f t="shared" ref="I101:N101" si="20">I60-I17</f>
        <v>35.303541660173316</v>
      </c>
      <c r="J101" s="85">
        <f t="shared" si="20"/>
        <v>40.117660977469676</v>
      </c>
      <c r="K101" s="85">
        <f t="shared" si="20"/>
        <v>56.164725368457546</v>
      </c>
      <c r="L101" s="85">
        <f t="shared" si="20"/>
        <v>19.256477269185446</v>
      </c>
      <c r="M101" s="85">
        <f t="shared" si="20"/>
        <v>16.04706439098787</v>
      </c>
      <c r="N101" s="85">
        <f t="shared" si="20"/>
        <v>70.607083320346632</v>
      </c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</row>
    <row r="102" spans="2:44">
      <c r="B102" s="99">
        <f t="shared" si="4"/>
        <v>17</v>
      </c>
      <c r="C102" s="85">
        <f t="shared" si="5"/>
        <v>89.253772142674535</v>
      </c>
      <c r="D102" s="85">
        <f t="shared" si="5"/>
        <v>31.404105013163264</v>
      </c>
      <c r="E102" s="85">
        <f t="shared" si="5"/>
        <v>21.487019219532758</v>
      </c>
      <c r="F102" s="85">
        <f t="shared" si="5"/>
        <v>-220.45602813503223</v>
      </c>
      <c r="G102" s="85">
        <f t="shared" si="5"/>
        <v>104.1294008331203</v>
      </c>
      <c r="H102" s="85">
        <f t="shared" si="5"/>
        <v>33.056952645435011</v>
      </c>
      <c r="I102" s="85">
        <f t="shared" ref="I102:N102" si="21">I61-I18</f>
        <v>36.362647909978513</v>
      </c>
      <c r="J102" s="85">
        <f t="shared" si="21"/>
        <v>41.321190806793766</v>
      </c>
      <c r="K102" s="85">
        <f t="shared" si="21"/>
        <v>57.849667129511275</v>
      </c>
      <c r="L102" s="85">
        <f t="shared" si="21"/>
        <v>19.834171587261007</v>
      </c>
      <c r="M102" s="85">
        <f t="shared" si="21"/>
        <v>16.528476322717506</v>
      </c>
      <c r="N102" s="85">
        <f t="shared" si="21"/>
        <v>72.725295819957026</v>
      </c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</row>
    <row r="103" spans="2:44">
      <c r="B103" s="99">
        <f t="shared" si="4"/>
        <v>18</v>
      </c>
      <c r="C103" s="85">
        <f t="shared" si="5"/>
        <v>91.93138530695478</v>
      </c>
      <c r="D103" s="85">
        <f t="shared" si="5"/>
        <v>32.346228163558159</v>
      </c>
      <c r="E103" s="85">
        <f t="shared" si="5"/>
        <v>22.131629796118741</v>
      </c>
      <c r="F103" s="85">
        <f t="shared" si="5"/>
        <v>56.180291020916805</v>
      </c>
      <c r="G103" s="85">
        <f t="shared" si="5"/>
        <v>-238.74671714188611</v>
      </c>
      <c r="H103" s="85">
        <f t="shared" si="5"/>
        <v>34.048661224798067</v>
      </c>
      <c r="I103" s="85">
        <f t="shared" ref="I103:N103" si="22">I62-I19</f>
        <v>37.45352734727787</v>
      </c>
      <c r="J103" s="85">
        <f t="shared" si="22"/>
        <v>42.560826530997581</v>
      </c>
      <c r="K103" s="85">
        <f t="shared" si="22"/>
        <v>59.585157143396614</v>
      </c>
      <c r="L103" s="85">
        <f t="shared" si="22"/>
        <v>20.42919673487884</v>
      </c>
      <c r="M103" s="85">
        <f t="shared" si="22"/>
        <v>17.024330612399034</v>
      </c>
      <c r="N103" s="85">
        <f t="shared" si="22"/>
        <v>74.90705469455574</v>
      </c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</row>
    <row r="104" spans="2:44">
      <c r="B104" s="99">
        <f t="shared" si="4"/>
        <v>19</v>
      </c>
      <c r="C104" s="85">
        <f t="shared" si="5"/>
        <v>94.689326866163412</v>
      </c>
      <c r="D104" s="85">
        <f t="shared" si="5"/>
        <v>33.316615008464908</v>
      </c>
      <c r="E104" s="85">
        <f t="shared" si="5"/>
        <v>22.795578690002305</v>
      </c>
      <c r="F104" s="85">
        <f t="shared" si="5"/>
        <v>57.865699751544312</v>
      </c>
      <c r="G104" s="85">
        <f t="shared" si="5"/>
        <v>110.47088134385731</v>
      </c>
      <c r="H104" s="85">
        <f t="shared" si="5"/>
        <v>35.070121061542004</v>
      </c>
      <c r="I104" s="85">
        <f t="shared" ref="I104:N104" si="23">I63-I20</f>
        <v>38.577133167696203</v>
      </c>
      <c r="J104" s="85">
        <f t="shared" si="23"/>
        <v>43.837651326927507</v>
      </c>
      <c r="K104" s="85">
        <f t="shared" si="23"/>
        <v>-126.6272881423015</v>
      </c>
      <c r="L104" s="85">
        <f t="shared" si="23"/>
        <v>21.042072636925205</v>
      </c>
      <c r="M104" s="85">
        <f t="shared" si="23"/>
        <v>17.535060530771002</v>
      </c>
      <c r="N104" s="85">
        <f t="shared" si="23"/>
        <v>77.154266335392407</v>
      </c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</row>
    <row r="105" spans="2:44">
      <c r="B105" s="99">
        <f t="shared" si="4"/>
        <v>20</v>
      </c>
      <c r="C105" s="85">
        <f t="shared" si="5"/>
        <v>97.530006672148318</v>
      </c>
      <c r="D105" s="85">
        <f t="shared" si="5"/>
        <v>34.316113458718853</v>
      </c>
      <c r="E105" s="85">
        <f t="shared" si="5"/>
        <v>23.479446050702371</v>
      </c>
      <c r="F105" s="85">
        <f t="shared" si="5"/>
        <v>59.60167074409064</v>
      </c>
      <c r="G105" s="85">
        <f t="shared" si="5"/>
        <v>113.78500778417303</v>
      </c>
      <c r="H105" s="85">
        <f t="shared" si="5"/>
        <v>36.122224693388262</v>
      </c>
      <c r="I105" s="85">
        <f t="shared" ref="I105:N105" si="24">I64-I21</f>
        <v>39.734447162727093</v>
      </c>
      <c r="J105" s="85">
        <f t="shared" si="24"/>
        <v>45.152780866735334</v>
      </c>
      <c r="K105" s="85">
        <f t="shared" si="24"/>
        <v>63.213893213429465</v>
      </c>
      <c r="L105" s="85">
        <f t="shared" si="24"/>
        <v>21.673334816032959</v>
      </c>
      <c r="M105" s="85">
        <f t="shared" si="24"/>
        <v>18.061112346694131</v>
      </c>
      <c r="N105" s="85">
        <f t="shared" si="24"/>
        <v>79.468894325454187</v>
      </c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</row>
    <row r="106" spans="2:44">
      <c r="B106" s="99">
        <f t="shared" si="4"/>
        <v>21</v>
      </c>
      <c r="C106" s="85">
        <f t="shared" si="5"/>
        <v>100.45590687231275</v>
      </c>
      <c r="D106" s="85">
        <f t="shared" si="5"/>
        <v>35.345596862480413</v>
      </c>
      <c r="E106" s="85">
        <f t="shared" si="5"/>
        <v>24.18382943222344</v>
      </c>
      <c r="F106" s="85">
        <f t="shared" si="5"/>
        <v>61.389720866413349</v>
      </c>
      <c r="G106" s="85">
        <f t="shared" si="5"/>
        <v>117.19855801769822</v>
      </c>
      <c r="H106" s="85">
        <f t="shared" si="5"/>
        <v>37.205891434189908</v>
      </c>
      <c r="I106" s="85">
        <f t="shared" ref="I106:N106" si="25">I65-I22</f>
        <v>40.926480577608899</v>
      </c>
      <c r="J106" s="85">
        <f t="shared" si="25"/>
        <v>46.507364292737385</v>
      </c>
      <c r="K106" s="85">
        <f t="shared" si="25"/>
        <v>65.110310009832347</v>
      </c>
      <c r="L106" s="85">
        <f t="shared" si="25"/>
        <v>22.323534860513945</v>
      </c>
      <c r="M106" s="85">
        <f t="shared" si="25"/>
        <v>18.602945717094954</v>
      </c>
      <c r="N106" s="85">
        <f t="shared" si="25"/>
        <v>81.852961155217798</v>
      </c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</row>
    <row r="107" spans="2:44">
      <c r="B107" s="99">
        <f t="shared" si="4"/>
        <v>22</v>
      </c>
      <c r="C107" s="85">
        <f t="shared" si="5"/>
        <v>103.46958407848214</v>
      </c>
      <c r="D107" s="85">
        <f t="shared" si="5"/>
        <v>36.405964768354828</v>
      </c>
      <c r="E107" s="85">
        <f t="shared" si="5"/>
        <v>24.909344315190147</v>
      </c>
      <c r="F107" s="85">
        <f t="shared" si="5"/>
        <v>63.231412492405752</v>
      </c>
      <c r="G107" s="85">
        <f t="shared" si="5"/>
        <v>120.71451475822917</v>
      </c>
      <c r="H107" s="85">
        <f t="shared" si="5"/>
        <v>38.322068177215613</v>
      </c>
      <c r="I107" s="85">
        <f t="shared" ref="I107:N107" si="26">I66-I23</f>
        <v>42.154274994937168</v>
      </c>
      <c r="J107" s="85">
        <f t="shared" si="26"/>
        <v>47.902585221519509</v>
      </c>
      <c r="K107" s="85">
        <f t="shared" si="26"/>
        <v>67.063619310127322</v>
      </c>
      <c r="L107" s="85">
        <f t="shared" si="26"/>
        <v>22.993240906329365</v>
      </c>
      <c r="M107" s="85">
        <f t="shared" si="26"/>
        <v>19.161034088607806</v>
      </c>
      <c r="N107" s="85">
        <f t="shared" si="26"/>
        <v>84.308549989874336</v>
      </c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</row>
    <row r="108" spans="2:44">
      <c r="B108" s="99">
        <f t="shared" si="4"/>
        <v>23</v>
      </c>
      <c r="C108" s="85">
        <f t="shared" si="5"/>
        <v>-193.42632839916337</v>
      </c>
      <c r="D108" s="85">
        <f t="shared" si="5"/>
        <v>-562.50185628859458</v>
      </c>
      <c r="E108" s="85">
        <f t="shared" si="5"/>
        <v>25.656624644645852</v>
      </c>
      <c r="F108" s="85">
        <f t="shared" si="5"/>
        <v>65.128354867177933</v>
      </c>
      <c r="G108" s="85">
        <f t="shared" si="5"/>
        <v>124.33595020097606</v>
      </c>
      <c r="H108" s="85">
        <f t="shared" si="5"/>
        <v>39.471730222532081</v>
      </c>
      <c r="I108" s="85">
        <f t="shared" ref="I108:N108" si="27">I67-I24</f>
        <v>-516.58109675521473</v>
      </c>
      <c r="J108" s="85">
        <f t="shared" si="27"/>
        <v>49.339662778165099</v>
      </c>
      <c r="K108" s="85">
        <f t="shared" si="27"/>
        <v>69.075527889431143</v>
      </c>
      <c r="L108" s="85">
        <f t="shared" si="27"/>
        <v>23.683038133519247</v>
      </c>
      <c r="M108" s="85">
        <f t="shared" si="27"/>
        <v>19.73586511126604</v>
      </c>
      <c r="N108" s="85">
        <f t="shared" si="27"/>
        <v>86.837806489570582</v>
      </c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</row>
    <row r="109" spans="2:44">
      <c r="B109" s="99">
        <f t="shared" si="4"/>
        <v>24</v>
      </c>
      <c r="C109" s="85">
        <f t="shared" si="5"/>
        <v>109.7708817488617</v>
      </c>
      <c r="D109" s="85">
        <f t="shared" si="5"/>
        <v>38.623088022747638</v>
      </c>
      <c r="E109" s="85">
        <f t="shared" si="5"/>
        <v>26.426323383985224</v>
      </c>
      <c r="F109" s="85">
        <f t="shared" si="5"/>
        <v>67.082205513193259</v>
      </c>
      <c r="G109" s="85">
        <f t="shared" si="5"/>
        <v>128.0660287070053</v>
      </c>
      <c r="H109" s="85">
        <f t="shared" si="5"/>
        <v>40.655882129208038</v>
      </c>
      <c r="I109" s="85">
        <f t="shared" ref="I109:N109" si="28">I68-I25</f>
        <v>44.721470342128839</v>
      </c>
      <c r="J109" s="85">
        <f t="shared" si="28"/>
        <v>50.819852661510048</v>
      </c>
      <c r="K109" s="85">
        <f t="shared" si="28"/>
        <v>71.14779372611406</v>
      </c>
      <c r="L109" s="85">
        <f t="shared" si="28"/>
        <v>24.39352927752482</v>
      </c>
      <c r="M109" s="85">
        <f t="shared" si="28"/>
        <v>20.327941064604019</v>
      </c>
      <c r="N109" s="85">
        <f t="shared" si="28"/>
        <v>89.442940684257678</v>
      </c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</row>
    <row r="110" spans="2:44">
      <c r="B110" s="99">
        <f t="shared" si="4"/>
        <v>25</v>
      </c>
      <c r="C110" s="85">
        <f t="shared" si="5"/>
        <v>280.56624257366468</v>
      </c>
      <c r="D110" s="85">
        <f t="shared" si="5"/>
        <v>772.60405604240486</v>
      </c>
      <c r="E110" s="85">
        <f t="shared" si="5"/>
        <v>236.59690605092615</v>
      </c>
      <c r="F110" s="85">
        <f t="shared" si="5"/>
        <v>278.47246464401042</v>
      </c>
      <c r="G110" s="85">
        <f t="shared" si="5"/>
        <v>341.28580253363685</v>
      </c>
      <c r="H110" s="85">
        <f t="shared" si="5"/>
        <v>167.50223437233711</v>
      </c>
      <c r="I110" s="85">
        <f t="shared" ref="I110:N110" si="29">I69-I26</f>
        <v>150.75201093510339</v>
      </c>
      <c r="J110" s="85">
        <f t="shared" si="29"/>
        <v>157.03334472406604</v>
      </c>
      <c r="K110" s="85">
        <f t="shared" si="29"/>
        <v>198.9089033171503</v>
      </c>
      <c r="L110" s="85">
        <f t="shared" si="29"/>
        <v>150.75201093510339</v>
      </c>
      <c r="M110" s="85">
        <f t="shared" si="29"/>
        <v>125.62667577925282</v>
      </c>
      <c r="N110" s="85">
        <f t="shared" si="29"/>
        <v>406.1929183529175</v>
      </c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</row>
    <row r="111" spans="2:44">
      <c r="B111" s="99">
        <f t="shared" si="4"/>
        <v>26</v>
      </c>
      <c r="C111" s="85">
        <f t="shared" si="5"/>
        <v>116.45592844736738</v>
      </c>
      <c r="D111" s="85">
        <f t="shared" si="5"/>
        <v>40.975234083332971</v>
      </c>
      <c r="E111" s="85">
        <f t="shared" si="5"/>
        <v>28.035686478069927</v>
      </c>
      <c r="F111" s="85">
        <f t="shared" si="5"/>
        <v>71.167511828946743</v>
      </c>
      <c r="G111" s="85">
        <f t="shared" si="5"/>
        <v>135.86524985526196</v>
      </c>
      <c r="H111" s="85">
        <f t="shared" si="5"/>
        <v>43.131825350876809</v>
      </c>
      <c r="I111" s="85">
        <f t="shared" ref="I111:N111" si="30">I70-I27</f>
        <v>47.445007885964493</v>
      </c>
      <c r="J111" s="85">
        <f t="shared" si="30"/>
        <v>53.914781688596015</v>
      </c>
      <c r="K111" s="85">
        <f t="shared" si="30"/>
        <v>75.48069436403442</v>
      </c>
      <c r="L111" s="85">
        <f t="shared" si="30"/>
        <v>25.879095210526089</v>
      </c>
      <c r="M111" s="85">
        <f t="shared" si="30"/>
        <v>21.565912675438405</v>
      </c>
      <c r="N111" s="85">
        <f t="shared" si="30"/>
        <v>94.890015771928987</v>
      </c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</row>
    <row r="112" spans="2:44">
      <c r="B112" s="99">
        <f t="shared" si="4"/>
        <v>27</v>
      </c>
      <c r="C112" s="85">
        <f t="shared" si="5"/>
        <v>119.9496063007884</v>
      </c>
      <c r="D112" s="85">
        <f t="shared" si="5"/>
        <v>42.204491105832957</v>
      </c>
      <c r="E112" s="85">
        <f t="shared" si="5"/>
        <v>28.876757072412023</v>
      </c>
      <c r="F112" s="85">
        <f t="shared" si="5"/>
        <v>73.302537183815133</v>
      </c>
      <c r="G112" s="85">
        <f t="shared" si="5"/>
        <v>139.9412073509198</v>
      </c>
      <c r="H112" s="85">
        <f t="shared" si="5"/>
        <v>44.425780111403114</v>
      </c>
      <c r="I112" s="85">
        <f t="shared" ref="I112:N112" si="31">I71-I28</f>
        <v>48.86835812254342</v>
      </c>
      <c r="J112" s="85">
        <f t="shared" si="31"/>
        <v>55.532225139253889</v>
      </c>
      <c r="K112" s="85">
        <f t="shared" si="31"/>
        <v>77.745115194955446</v>
      </c>
      <c r="L112" s="85">
        <f t="shared" si="31"/>
        <v>26.655468066841866</v>
      </c>
      <c r="M112" s="85">
        <f t="shared" si="31"/>
        <v>22.212890055701557</v>
      </c>
      <c r="N112" s="85">
        <f t="shared" si="31"/>
        <v>97.736716245086839</v>
      </c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</row>
    <row r="113" spans="2:44">
      <c r="B113" s="99">
        <f t="shared" si="4"/>
        <v>28</v>
      </c>
      <c r="C113" s="85">
        <f t="shared" si="5"/>
        <v>123.54809448981204</v>
      </c>
      <c r="D113" s="85">
        <f t="shared" si="5"/>
        <v>43.470625839007944</v>
      </c>
      <c r="E113" s="85">
        <f t="shared" si="5"/>
        <v>-170.25694021541563</v>
      </c>
      <c r="F113" s="85">
        <f t="shared" si="5"/>
        <v>75.501613299329591</v>
      </c>
      <c r="G113" s="85">
        <f t="shared" si="5"/>
        <v>144.1394435714474</v>
      </c>
      <c r="H113" s="85">
        <f t="shared" si="5"/>
        <v>45.758553514745202</v>
      </c>
      <c r="I113" s="85">
        <f t="shared" ref="I113:N113" si="32">I72-I29</f>
        <v>50.334408866219725</v>
      </c>
      <c r="J113" s="85">
        <f t="shared" si="32"/>
        <v>57.198191893431506</v>
      </c>
      <c r="K113" s="85">
        <f t="shared" si="32"/>
        <v>80.077468650804107</v>
      </c>
      <c r="L113" s="85">
        <f t="shared" si="32"/>
        <v>27.455132108847124</v>
      </c>
      <c r="M113" s="85">
        <f t="shared" si="32"/>
        <v>22.879276757372601</v>
      </c>
      <c r="N113" s="85">
        <f t="shared" si="32"/>
        <v>100.66881773243945</v>
      </c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</row>
    <row r="114" spans="2:44">
      <c r="B114" s="99">
        <f t="shared" si="4"/>
        <v>29</v>
      </c>
      <c r="C114" s="85">
        <f t="shared" si="5"/>
        <v>127.2545373245064</v>
      </c>
      <c r="D114" s="85">
        <f t="shared" si="5"/>
        <v>44.774744614178175</v>
      </c>
      <c r="E114" s="85">
        <f t="shared" si="5"/>
        <v>30.635351578121909</v>
      </c>
      <c r="F114" s="85">
        <f t="shared" si="5"/>
        <v>77.766661698309463</v>
      </c>
      <c r="G114" s="85">
        <f t="shared" si="5"/>
        <v>148.46362687859079</v>
      </c>
      <c r="H114" s="85">
        <f t="shared" si="5"/>
        <v>47.131310120187557</v>
      </c>
      <c r="I114" s="85">
        <f t="shared" ref="I114:N114" si="33">I73-I30</f>
        <v>51.844441132206313</v>
      </c>
      <c r="J114" s="85">
        <f t="shared" si="33"/>
        <v>58.914137650234444</v>
      </c>
      <c r="K114" s="85">
        <f t="shared" si="33"/>
        <v>82.479792710328226</v>
      </c>
      <c r="L114" s="85">
        <f t="shared" si="33"/>
        <v>28.278786072112531</v>
      </c>
      <c r="M114" s="85">
        <f t="shared" si="33"/>
        <v>23.565655060093778</v>
      </c>
      <c r="N114" s="85">
        <f t="shared" si="33"/>
        <v>103.68888226441263</v>
      </c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</row>
    <row r="115" spans="2:44">
      <c r="B115" s="99">
        <f t="shared" si="4"/>
        <v>30</v>
      </c>
      <c r="C115" s="85">
        <f t="shared" si="5"/>
        <v>131.0721734442416</v>
      </c>
      <c r="D115" s="85">
        <f t="shared" si="5"/>
        <v>46.117986952603523</v>
      </c>
      <c r="E115" s="85">
        <f t="shared" si="5"/>
        <v>31.554412125465568</v>
      </c>
      <c r="F115" s="85">
        <f t="shared" si="5"/>
        <v>80.099661549258755</v>
      </c>
      <c r="G115" s="85">
        <f t="shared" si="5"/>
        <v>152.91753568494852</v>
      </c>
      <c r="H115" s="85">
        <f t="shared" si="5"/>
        <v>48.54524942379318</v>
      </c>
      <c r="I115" s="85">
        <f t="shared" ref="I115:N115" si="34">I74-I31</f>
        <v>53.399774366172501</v>
      </c>
      <c r="J115" s="85">
        <f t="shared" si="34"/>
        <v>60.681561779741479</v>
      </c>
      <c r="K115" s="85">
        <f t="shared" si="34"/>
        <v>84.954186491638069</v>
      </c>
      <c r="L115" s="85">
        <f t="shared" si="34"/>
        <v>29.127149654275911</v>
      </c>
      <c r="M115" s="85">
        <f t="shared" si="34"/>
        <v>24.27262471189659</v>
      </c>
      <c r="N115" s="85">
        <f t="shared" si="34"/>
        <v>106.799548732345</v>
      </c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</row>
    <row r="116" spans="2:44">
      <c r="B116" s="99">
        <f t="shared" si="4"/>
        <v>31</v>
      </c>
      <c r="C116" s="85">
        <f t="shared" si="5"/>
        <v>135.00433864756886</v>
      </c>
      <c r="D116" s="85">
        <f t="shared" si="5"/>
        <v>47.501526561181635</v>
      </c>
      <c r="E116" s="85">
        <f t="shared" si="5"/>
        <v>32.501044489229542</v>
      </c>
      <c r="F116" s="85">
        <f t="shared" si="5"/>
        <v>82.502651395736521</v>
      </c>
      <c r="G116" s="85">
        <f t="shared" si="5"/>
        <v>157.505061755497</v>
      </c>
      <c r="H116" s="85">
        <f t="shared" si="5"/>
        <v>50.001606906506986</v>
      </c>
      <c r="I116" s="85">
        <f t="shared" ref="I116:N116" si="35">I75-I32</f>
        <v>55.001767597157681</v>
      </c>
      <c r="J116" s="85">
        <f t="shared" si="35"/>
        <v>62.502008633133734</v>
      </c>
      <c r="K116" s="85">
        <f t="shared" si="35"/>
        <v>87.502812086387223</v>
      </c>
      <c r="L116" s="85">
        <f t="shared" si="35"/>
        <v>30.000964143904191</v>
      </c>
      <c r="M116" s="85">
        <f t="shared" si="35"/>
        <v>25.000803453253493</v>
      </c>
      <c r="N116" s="85">
        <f t="shared" si="35"/>
        <v>110.00353519431536</v>
      </c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</row>
    <row r="117" spans="2:44">
      <c r="B117" s="99">
        <f t="shared" si="4"/>
        <v>32</v>
      </c>
      <c r="C117" s="85">
        <f t="shared" si="5"/>
        <v>139.05446880699589</v>
      </c>
      <c r="D117" s="85">
        <f t="shared" si="5"/>
        <v>48.926572358017076</v>
      </c>
      <c r="E117" s="85">
        <f t="shared" si="5"/>
        <v>33.47607582390642</v>
      </c>
      <c r="F117" s="85">
        <f t="shared" si="5"/>
        <v>84.977730937608612</v>
      </c>
      <c r="G117" s="85">
        <f t="shared" si="5"/>
        <v>162.23021360816188</v>
      </c>
      <c r="H117" s="85">
        <f t="shared" si="5"/>
        <v>51.501655113702185</v>
      </c>
      <c r="I117" s="85">
        <f t="shared" ref="I117:N117" si="36">I76-I33</f>
        <v>56.651820625072403</v>
      </c>
      <c r="J117" s="85">
        <f t="shared" si="36"/>
        <v>64.377068892127738</v>
      </c>
      <c r="K117" s="85">
        <f t="shared" si="36"/>
        <v>90.127896448978817</v>
      </c>
      <c r="L117" s="85">
        <f t="shared" si="36"/>
        <v>30.900993068221311</v>
      </c>
      <c r="M117" s="85">
        <f t="shared" si="36"/>
        <v>25.750827556851092</v>
      </c>
      <c r="N117" s="85">
        <f t="shared" si="36"/>
        <v>113.30364125014481</v>
      </c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</row>
    <row r="118" spans="2:44">
      <c r="B118" s="99">
        <f t="shared" si="4"/>
        <v>33</v>
      </c>
      <c r="C118" s="85">
        <f t="shared" si="5"/>
        <v>143.2261028712058</v>
      </c>
      <c r="D118" s="85">
        <f t="shared" si="5"/>
        <v>50.394369528757593</v>
      </c>
      <c r="E118" s="85">
        <f t="shared" si="5"/>
        <v>34.480358098623611</v>
      </c>
      <c r="F118" s="85">
        <f t="shared" si="5"/>
        <v>87.527062865736866</v>
      </c>
      <c r="G118" s="85">
        <f t="shared" si="5"/>
        <v>167.09712001640673</v>
      </c>
      <c r="H118" s="85">
        <f t="shared" si="5"/>
        <v>53.046704767113255</v>
      </c>
      <c r="I118" s="85">
        <f t="shared" ref="I118:N118" si="37">I77-I34</f>
        <v>58.351375243824577</v>
      </c>
      <c r="J118" s="85">
        <f t="shared" si="37"/>
        <v>66.308380958891561</v>
      </c>
      <c r="K118" s="85">
        <f t="shared" si="37"/>
        <v>92.831733342448189</v>
      </c>
      <c r="L118" s="85">
        <f t="shared" si="37"/>
        <v>31.82802286026795</v>
      </c>
      <c r="M118" s="85">
        <f t="shared" si="37"/>
        <v>26.523352383556627</v>
      </c>
      <c r="N118" s="85">
        <f t="shared" si="37"/>
        <v>116.70275048764915</v>
      </c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</row>
    <row r="119" spans="2:44">
      <c r="B119" s="99">
        <f t="shared" si="4"/>
        <v>34</v>
      </c>
      <c r="C119" s="85">
        <f t="shared" si="5"/>
        <v>147.52288595734194</v>
      </c>
      <c r="D119" s="85">
        <f t="shared" si="5"/>
        <v>51.90620061462031</v>
      </c>
      <c r="E119" s="85">
        <f t="shared" si="5"/>
        <v>35.514768841582317</v>
      </c>
      <c r="F119" s="85">
        <f t="shared" si="5"/>
        <v>-184.84712524829104</v>
      </c>
      <c r="G119" s="85">
        <f t="shared" si="5"/>
        <v>172.11003361689893</v>
      </c>
      <c r="H119" s="85">
        <f t="shared" si="5"/>
        <v>54.63810591012664</v>
      </c>
      <c r="I119" s="85">
        <f t="shared" ref="I119:N119" si="38">I78-I35</f>
        <v>60.101916501139307</v>
      </c>
      <c r="J119" s="85">
        <f t="shared" si="38"/>
        <v>68.297632387658297</v>
      </c>
      <c r="K119" s="85">
        <f t="shared" si="38"/>
        <v>95.616685342721624</v>
      </c>
      <c r="L119" s="85">
        <f t="shared" si="38"/>
        <v>32.782863546075987</v>
      </c>
      <c r="M119" s="85">
        <f t="shared" si="38"/>
        <v>27.31905295506332</v>
      </c>
      <c r="N119" s="85">
        <f t="shared" si="38"/>
        <v>-169.7961669977214</v>
      </c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</row>
    <row r="120" spans="2:44">
      <c r="B120" s="99">
        <f t="shared" si="4"/>
        <v>35</v>
      </c>
      <c r="C120" s="85">
        <f t="shared" si="5"/>
        <v>-148.05142746393778</v>
      </c>
      <c r="D120" s="85">
        <f t="shared" si="5"/>
        <v>-546.53661336694108</v>
      </c>
      <c r="E120" s="85">
        <f t="shared" si="5"/>
        <v>36.580211906829796</v>
      </c>
      <c r="F120" s="85">
        <f t="shared" si="5"/>
        <v>92.857460994260236</v>
      </c>
      <c r="G120" s="85">
        <f t="shared" si="5"/>
        <v>-168.72666537459409</v>
      </c>
      <c r="H120" s="85">
        <f t="shared" si="5"/>
        <v>56.277249087430448</v>
      </c>
      <c r="I120" s="85">
        <f t="shared" ref="I120:N120" si="39">I79-I36</f>
        <v>61.904973996173496</v>
      </c>
      <c r="J120" s="85">
        <f t="shared" si="39"/>
        <v>70.34656135928806</v>
      </c>
      <c r="K120" s="85">
        <f t="shared" si="39"/>
        <v>98.485185903003284</v>
      </c>
      <c r="L120" s="85">
        <f t="shared" si="39"/>
        <v>33.766349452458272</v>
      </c>
      <c r="M120" s="85">
        <f t="shared" si="39"/>
        <v>28.138624543715224</v>
      </c>
      <c r="N120" s="85">
        <f t="shared" si="39"/>
        <v>123.80994799234699</v>
      </c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</row>
    <row r="121" spans="2:44">
      <c r="B121" s="99">
        <f t="shared" si="4"/>
        <v>36</v>
      </c>
      <c r="C121" s="85">
        <f t="shared" si="5"/>
        <v>156.50702971214406</v>
      </c>
      <c r="D121" s="85">
        <f t="shared" si="5"/>
        <v>55.067288232050693</v>
      </c>
      <c r="E121" s="85">
        <f t="shared" si="5"/>
        <v>37.677618264034685</v>
      </c>
      <c r="F121" s="85">
        <f t="shared" si="5"/>
        <v>95.643184824088053</v>
      </c>
      <c r="G121" s="85">
        <f t="shared" si="5"/>
        <v>182.59153466416808</v>
      </c>
      <c r="H121" s="85">
        <f t="shared" si="5"/>
        <v>57.965566560053361</v>
      </c>
      <c r="I121" s="85">
        <f t="shared" ref="I121:N121" si="40">I80-I37</f>
        <v>63.762123216058697</v>
      </c>
      <c r="J121" s="85">
        <f t="shared" si="40"/>
        <v>72.456958200066708</v>
      </c>
      <c r="K121" s="85">
        <f t="shared" si="40"/>
        <v>101.43974148009337</v>
      </c>
      <c r="L121" s="85">
        <f t="shared" si="40"/>
        <v>34.779339936032017</v>
      </c>
      <c r="M121" s="85">
        <f t="shared" si="40"/>
        <v>28.98278328002668</v>
      </c>
      <c r="N121" s="85">
        <f t="shared" si="40"/>
        <v>127.52424643211739</v>
      </c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</row>
    <row r="122" spans="2:44">
      <c r="B122" s="99">
        <f t="shared" si="4"/>
        <v>37</v>
      </c>
      <c r="C122" s="85">
        <f t="shared" si="5"/>
        <v>161.20224060350839</v>
      </c>
      <c r="D122" s="85">
        <f t="shared" si="5"/>
        <v>56.719306879012208</v>
      </c>
      <c r="E122" s="85">
        <f t="shared" si="5"/>
        <v>38.807946811955716</v>
      </c>
      <c r="F122" s="85">
        <f t="shared" si="5"/>
        <v>98.512480368810671</v>
      </c>
      <c r="G122" s="85">
        <f t="shared" si="5"/>
        <v>188.0692807040931</v>
      </c>
      <c r="H122" s="85">
        <f t="shared" si="5"/>
        <v>59.704533556854955</v>
      </c>
      <c r="I122" s="85">
        <f t="shared" ref="I122:N122" si="41">I81-I38</f>
        <v>65.674986912540447</v>
      </c>
      <c r="J122" s="85">
        <f t="shared" si="41"/>
        <v>74.630666946068686</v>
      </c>
      <c r="K122" s="85">
        <f t="shared" si="41"/>
        <v>104.48293372449616</v>
      </c>
      <c r="L122" s="85">
        <f t="shared" si="41"/>
        <v>35.82272013411297</v>
      </c>
      <c r="M122" s="85">
        <f t="shared" si="41"/>
        <v>29.852266778427477</v>
      </c>
      <c r="N122" s="85">
        <f t="shared" si="41"/>
        <v>131.34997382508089</v>
      </c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</row>
    <row r="123" spans="2:44">
      <c r="B123" s="99">
        <f t="shared" si="4"/>
        <v>38</v>
      </c>
      <c r="C123" s="85">
        <f t="shared" si="5"/>
        <v>166.03830782161361</v>
      </c>
      <c r="D123" s="85">
        <f t="shared" si="5"/>
        <v>58.42088608538257</v>
      </c>
      <c r="E123" s="85">
        <f t="shared" si="5"/>
        <v>39.972185216314394</v>
      </c>
      <c r="F123" s="85">
        <f t="shared" si="5"/>
        <v>101.467854779875</v>
      </c>
      <c r="G123" s="85">
        <f t="shared" si="5"/>
        <v>193.71135912521589</v>
      </c>
      <c r="H123" s="85">
        <f t="shared" si="5"/>
        <v>61.495669563560604</v>
      </c>
      <c r="I123" s="85">
        <f t="shared" ref="I123:N123" si="42">I82-I39</f>
        <v>67.645236519916665</v>
      </c>
      <c r="J123" s="85">
        <f t="shared" si="42"/>
        <v>76.869586954450753</v>
      </c>
      <c r="K123" s="85">
        <f t="shared" si="42"/>
        <v>-80.382578263768949</v>
      </c>
      <c r="L123" s="85">
        <f t="shared" si="42"/>
        <v>36.897401738136359</v>
      </c>
      <c r="M123" s="85">
        <f t="shared" si="42"/>
        <v>30.747834781780302</v>
      </c>
      <c r="N123" s="85">
        <f t="shared" si="42"/>
        <v>135.29047303983333</v>
      </c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</row>
    <row r="124" spans="2:44">
      <c r="B124" s="99">
        <f t="shared" si="4"/>
        <v>39</v>
      </c>
      <c r="C124" s="85">
        <f t="shared" si="5"/>
        <v>171.01945705626207</v>
      </c>
      <c r="D124" s="85">
        <f t="shared" si="5"/>
        <v>60.17351266794406</v>
      </c>
      <c r="E124" s="85">
        <f t="shared" si="5"/>
        <v>41.171350772803827</v>
      </c>
      <c r="F124" s="85">
        <f t="shared" si="5"/>
        <v>104.51189042327125</v>
      </c>
      <c r="G124" s="85">
        <f t="shared" si="5"/>
        <v>199.52269989897241</v>
      </c>
      <c r="H124" s="85">
        <f t="shared" si="5"/>
        <v>63.340539650467427</v>
      </c>
      <c r="I124" s="85">
        <f t="shared" ref="I124:N124" si="43">I83-I40</f>
        <v>69.674593615514169</v>
      </c>
      <c r="J124" s="85">
        <f t="shared" si="43"/>
        <v>79.175674563084286</v>
      </c>
      <c r="K124" s="85">
        <f t="shared" si="43"/>
        <v>110.845944388318</v>
      </c>
      <c r="L124" s="85">
        <f t="shared" si="43"/>
        <v>38.004323790280459</v>
      </c>
      <c r="M124" s="85">
        <f t="shared" si="43"/>
        <v>31.670269825233714</v>
      </c>
      <c r="N124" s="85">
        <f t="shared" si="43"/>
        <v>139.34918723102834</v>
      </c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</row>
    <row r="125" spans="2:44">
      <c r="B125" s="99">
        <f t="shared" si="4"/>
        <v>40</v>
      </c>
      <c r="C125" s="85">
        <f t="shared" si="5"/>
        <v>437.11306412787565</v>
      </c>
      <c r="D125" s="85">
        <f t="shared" si="5"/>
        <v>1203.6919452476575</v>
      </c>
      <c r="E125" s="85">
        <f t="shared" si="5"/>
        <v>368.61027049589518</v>
      </c>
      <c r="F125" s="85">
        <f t="shared" si="5"/>
        <v>433.85102633587661</v>
      </c>
      <c r="G125" s="85">
        <f t="shared" si="5"/>
        <v>531.71216009584873</v>
      </c>
      <c r="H125" s="85">
        <f t="shared" si="5"/>
        <v>260.96302335992573</v>
      </c>
      <c r="I125" s="85">
        <f t="shared" ref="I125:N125" si="44">I84-I41</f>
        <v>234.8667210239332</v>
      </c>
      <c r="J125" s="85">
        <f t="shared" si="44"/>
        <v>244.65283439993041</v>
      </c>
      <c r="K125" s="85">
        <f t="shared" si="44"/>
        <v>309.89359023991187</v>
      </c>
      <c r="L125" s="85">
        <f t="shared" si="44"/>
        <v>234.8667210239332</v>
      </c>
      <c r="M125" s="85">
        <f t="shared" si="44"/>
        <v>195.72226751994432</v>
      </c>
      <c r="N125" s="85">
        <f t="shared" si="44"/>
        <v>632.83533164781988</v>
      </c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</row>
    <row r="129" spans="1:44">
      <c r="A129" s="86" t="s">
        <v>148</v>
      </c>
      <c r="C129" s="83">
        <f>IRR(C86:C125)</f>
        <v>0.25296575822233747</v>
      </c>
      <c r="D129" s="83">
        <f t="shared" ref="D129:H129" si="45">IRR(D86:D125)</f>
        <v>4.8447062360701398E-2</v>
      </c>
      <c r="E129" s="83">
        <f t="shared" si="45"/>
        <v>0.10387596491479578</v>
      </c>
      <c r="F129" s="83">
        <f t="shared" si="45"/>
        <v>0.18354342183327232</v>
      </c>
      <c r="G129" s="83">
        <f t="shared" si="45"/>
        <v>0.27648739147544776</v>
      </c>
      <c r="H129" s="83">
        <f t="shared" si="45"/>
        <v>0.20645954436857994</v>
      </c>
      <c r="I129" s="83">
        <f t="shared" ref="I129:N129" si="46">IRR(I86:I125)</f>
        <v>4.8478168384640918E-2</v>
      </c>
      <c r="J129" s="83">
        <f t="shared" si="46"/>
        <v>0.1960484326938936</v>
      </c>
      <c r="K129" s="83">
        <f t="shared" si="46"/>
        <v>0.2855254783985266</v>
      </c>
      <c r="L129" s="83">
        <f t="shared" si="46"/>
        <v>0.1090957247471549</v>
      </c>
      <c r="M129" s="83">
        <f t="shared" si="46"/>
        <v>8.7282315075001948E-2</v>
      </c>
      <c r="N129" s="83">
        <f t="shared" si="46"/>
        <v>0.24652223731320189</v>
      </c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</row>
    <row r="130" spans="1:44">
      <c r="A130" s="86" t="s">
        <v>149</v>
      </c>
      <c r="C130" s="91">
        <f>NPV(parameters!B8,$C$86:$C$125)</f>
        <v>1040.1127369286305</v>
      </c>
      <c r="D130" s="91">
        <f>NPV(parameters!C8,$C$86:$C$125)</f>
        <v>3529.7966344460747</v>
      </c>
      <c r="E130" s="91">
        <f>NPV(parameters!D8,$C$86:$C$125)</f>
        <v>3529.7966344460747</v>
      </c>
      <c r="F130" s="91">
        <f>NPV(parameters!E8,$C$86:$C$125)</f>
        <v>3529.7966344460747</v>
      </c>
      <c r="G130" s="91">
        <f>NPV(parameters!F8,$C$86:$C$125)</f>
        <v>3529.7966344460747</v>
      </c>
      <c r="H130" s="91">
        <f>NPV(parameters!G8,$C$86:$C$125)</f>
        <v>3529.7966344460747</v>
      </c>
      <c r="I130" s="91">
        <f>NPV(parameters!H8,$C$86:$C$125)</f>
        <v>3529.7966344460747</v>
      </c>
      <c r="J130" s="91">
        <f>NPV(parameters!I8,$C$86:$C$125)</f>
        <v>3529.7966344460747</v>
      </c>
      <c r="K130" s="91">
        <f>NPV(parameters!J8,$C$86:$C$125)</f>
        <v>3529.7966344460747</v>
      </c>
      <c r="L130" s="91">
        <f>NPV(parameters!K8,$C$86:$C$125)</f>
        <v>3529.7966344460747</v>
      </c>
      <c r="M130" s="91">
        <f>NPV(parameters!L8,$C$86:$C$125)</f>
        <v>3529.7966344460747</v>
      </c>
      <c r="N130" s="91">
        <f>NPV(parameters!M8,$C$86:$C$125)</f>
        <v>3529.7966344460747</v>
      </c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91"/>
      <c r="AJ130" s="91"/>
      <c r="AK130" s="91"/>
      <c r="AL130" s="91"/>
      <c r="AM130" s="91"/>
      <c r="AN130" s="91"/>
      <c r="AO130" s="91"/>
      <c r="AP130" s="91"/>
      <c r="AQ130" s="91"/>
      <c r="AR130" s="91"/>
    </row>
    <row r="132" spans="1:44">
      <c r="A132" s="81" t="s">
        <v>150</v>
      </c>
      <c r="C132" s="83">
        <f>IRR(C86:C105)</f>
        <v>0.2479762656016502</v>
      </c>
      <c r="D132" s="83">
        <f t="shared" ref="D132:H132" si="47">IRR(D86:D105)</f>
        <v>-4.5420072728037053E-2</v>
      </c>
      <c r="E132" s="83">
        <f t="shared" si="47"/>
        <v>5.3872352126987488E-2</v>
      </c>
      <c r="F132" s="83">
        <f t="shared" si="47"/>
        <v>0.16776540549175878</v>
      </c>
      <c r="G132" s="83">
        <f t="shared" si="47"/>
        <v>0.27171215784027125</v>
      </c>
      <c r="H132" s="83">
        <f t="shared" si="47"/>
        <v>0.19606685314092132</v>
      </c>
      <c r="I132" s="83">
        <f t="shared" ref="I132:N132" si="48">IRR(I86:I105)</f>
        <v>1.8917027214616855E-2</v>
      </c>
      <c r="J132" s="83">
        <f t="shared" si="48"/>
        <v>0.18449365542041996</v>
      </c>
      <c r="K132" s="83">
        <f t="shared" si="48"/>
        <v>0.28124212680144622</v>
      </c>
      <c r="L132" s="83">
        <f t="shared" si="48"/>
        <v>7.6100278606199723E-2</v>
      </c>
      <c r="M132" s="83">
        <f t="shared" si="48"/>
        <v>4.520786658890863E-2</v>
      </c>
      <c r="N132" s="83">
        <f t="shared" si="48"/>
        <v>0.24012778301840387</v>
      </c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</row>
    <row r="133" spans="1:44">
      <c r="A133" s="81" t="s">
        <v>151</v>
      </c>
      <c r="C133" s="91">
        <f>NPV(parameters!B11,$C$86:$C$105)</f>
        <v>658.32390001977751</v>
      </c>
      <c r="D133" s="91">
        <f>NPV(parameters!C11,$C$86:$C$105)</f>
        <v>1002.0435394246226</v>
      </c>
      <c r="E133" s="91">
        <f>NPV(parameters!D11,$C$86:$C$105)</f>
        <v>1002.0435394246226</v>
      </c>
      <c r="F133" s="91">
        <f>NPV(parameters!E11,$C$86:$C$105)</f>
        <v>1002.0435394246226</v>
      </c>
      <c r="G133" s="91">
        <f>NPV(parameters!F11,$C$86:$C$105)</f>
        <v>1002.0435394246226</v>
      </c>
      <c r="H133" s="91">
        <f>NPV(parameters!G11,$C$86:$C$105)</f>
        <v>1002.0435394246226</v>
      </c>
      <c r="I133" s="91">
        <f>NPV(parameters!H11,$C$86:$C$105)</f>
        <v>1002.0435394246226</v>
      </c>
      <c r="J133" s="91">
        <f>NPV(parameters!I11,$C$86:$C$105)</f>
        <v>1002.0435394246226</v>
      </c>
      <c r="K133" s="91">
        <f>NPV(parameters!J11,$C$86:$C$105)</f>
        <v>1002.0435394246226</v>
      </c>
      <c r="L133" s="91">
        <f>NPV(parameters!K11,$C$86:$C$105)</f>
        <v>1002.0435394246226</v>
      </c>
      <c r="M133" s="91">
        <f>NPV(parameters!L11,$C$86:$C$105)</f>
        <v>1002.0435394246226</v>
      </c>
      <c r="N133" s="91">
        <f>NPV(parameters!M11,$C$86:$C$105)</f>
        <v>1002.0435394246226</v>
      </c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91"/>
      <c r="AQ133" s="91"/>
      <c r="AR133" s="91"/>
    </row>
    <row r="136" spans="1:44">
      <c r="A136" s="84" t="s">
        <v>157</v>
      </c>
    </row>
    <row r="137" spans="1:44">
      <c r="B137" s="99">
        <f>B86</f>
        <v>1</v>
      </c>
      <c r="C137" s="97">
        <f>businessmodel!B26</f>
        <v>277.56</v>
      </c>
      <c r="D137" s="97">
        <f>businessmodel!C26</f>
        <v>18.36</v>
      </c>
      <c r="E137" s="97">
        <f>businessmodel!D26</f>
        <v>9.7199999999999989</v>
      </c>
      <c r="F137" s="97">
        <f>businessmodel!E26</f>
        <v>38.04</v>
      </c>
      <c r="G137" s="97">
        <f>businessmodel!F26</f>
        <v>41.76</v>
      </c>
      <c r="H137" s="97">
        <f>businessmodel!G26</f>
        <v>24.96</v>
      </c>
      <c r="I137" s="97">
        <f>businessmodel!H26</f>
        <v>88.2</v>
      </c>
      <c r="J137" s="97">
        <f>businessmodel!I26</f>
        <v>11.28</v>
      </c>
      <c r="K137" s="97">
        <f>businessmodel!J26</f>
        <v>47.76</v>
      </c>
      <c r="L137" s="97">
        <f>businessmodel!K26</f>
        <v>5.76</v>
      </c>
      <c r="M137" s="97">
        <f>businessmodel!L26</f>
        <v>21.72</v>
      </c>
      <c r="N137" s="97">
        <f>businessmodel!M26</f>
        <v>47.76</v>
      </c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  <c r="AL137" s="97"/>
      <c r="AM137" s="97"/>
      <c r="AN137" s="97"/>
      <c r="AO137" s="97"/>
      <c r="AP137" s="97"/>
      <c r="AQ137" s="97"/>
      <c r="AR137" s="97"/>
    </row>
    <row r="138" spans="1:44">
      <c r="B138" s="99">
        <f t="shared" ref="B138:B176" si="49">B87</f>
        <v>2</v>
      </c>
      <c r="C138" s="97">
        <f>C137*(1+parameters!$B$14)</f>
        <v>285.88679999999999</v>
      </c>
      <c r="D138" s="97">
        <f>D137*(1+parameters!$B$14)</f>
        <v>18.910799999999998</v>
      </c>
      <c r="E138" s="97">
        <f>E137*(1+parameters!$B$14)</f>
        <v>10.0116</v>
      </c>
      <c r="F138" s="97">
        <f>F137*(1+parameters!$B$14)</f>
        <v>39.181199999999997</v>
      </c>
      <c r="G138" s="97">
        <f>G137*(1+parameters!$B$14)</f>
        <v>43.012799999999999</v>
      </c>
      <c r="H138" s="97">
        <f>H137*(1+parameters!$B$14)</f>
        <v>25.7088</v>
      </c>
      <c r="I138" s="97">
        <f>I137*(1+parameters!$B$14)</f>
        <v>90.846000000000004</v>
      </c>
      <c r="J138" s="97">
        <f>J137*(1+parameters!$B$14)</f>
        <v>11.618399999999999</v>
      </c>
      <c r="K138" s="97">
        <f>K137*(1+parameters!$B$14)</f>
        <v>49.192799999999998</v>
      </c>
      <c r="L138" s="97">
        <f>L137*(1+parameters!$B$14)</f>
        <v>5.9328000000000003</v>
      </c>
      <c r="M138" s="97">
        <f>M137*(1+parameters!$B$14)</f>
        <v>22.371600000000001</v>
      </c>
      <c r="N138" s="97">
        <f>N137*(1+parameters!$B$14)</f>
        <v>49.192799999999998</v>
      </c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  <c r="AH138" s="97"/>
      <c r="AI138" s="97"/>
      <c r="AJ138" s="97"/>
      <c r="AK138" s="97"/>
      <c r="AL138" s="97"/>
      <c r="AM138" s="97"/>
      <c r="AN138" s="97"/>
      <c r="AO138" s="97"/>
      <c r="AP138" s="97"/>
      <c r="AQ138" s="97"/>
      <c r="AR138" s="97"/>
    </row>
    <row r="139" spans="1:44">
      <c r="B139" s="99">
        <f t="shared" si="49"/>
        <v>3</v>
      </c>
      <c r="C139" s="97">
        <f>C138*(1+parameters!$B$14)</f>
        <v>294.46340400000003</v>
      </c>
      <c r="D139" s="97">
        <f>D138*(1+parameters!$B$14)</f>
        <v>19.478123999999998</v>
      </c>
      <c r="E139" s="97">
        <f>E138*(1+parameters!$B$14)</f>
        <v>10.311947999999999</v>
      </c>
      <c r="F139" s="97">
        <f>F138*(1+parameters!$B$14)</f>
        <v>40.356635999999995</v>
      </c>
      <c r="G139" s="97">
        <f>G138*(1+parameters!$B$14)</f>
        <v>44.303184000000002</v>
      </c>
      <c r="H139" s="97">
        <f>H138*(1+parameters!$B$14)</f>
        <v>26.480064000000002</v>
      </c>
      <c r="I139" s="97">
        <f>I138*(1+parameters!$B$14)</f>
        <v>93.571380000000005</v>
      </c>
      <c r="J139" s="97">
        <f>J138*(1+parameters!$B$14)</f>
        <v>11.966951999999999</v>
      </c>
      <c r="K139" s="97">
        <f>K138*(1+parameters!$B$14)</f>
        <v>50.668584000000003</v>
      </c>
      <c r="L139" s="97">
        <f>L138*(1+parameters!$B$14)</f>
        <v>6.1107840000000007</v>
      </c>
      <c r="M139" s="97">
        <f>M138*(1+parameters!$B$14)</f>
        <v>23.042748000000003</v>
      </c>
      <c r="N139" s="97">
        <f>N138*(1+parameters!$B$14)</f>
        <v>50.668584000000003</v>
      </c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  <c r="AH139" s="97"/>
      <c r="AI139" s="97"/>
      <c r="AJ139" s="97"/>
      <c r="AK139" s="97"/>
      <c r="AL139" s="97"/>
      <c r="AM139" s="97"/>
      <c r="AN139" s="97"/>
      <c r="AO139" s="97"/>
      <c r="AP139" s="97"/>
      <c r="AQ139" s="97"/>
      <c r="AR139" s="97"/>
    </row>
    <row r="140" spans="1:44">
      <c r="B140" s="99">
        <f t="shared" si="49"/>
        <v>4</v>
      </c>
      <c r="C140" s="97">
        <f>C139*(1+parameters!$B$14)</f>
        <v>303.29730612000003</v>
      </c>
      <c r="D140" s="97">
        <f>D139*(1+parameters!$B$14)</f>
        <v>20.062467719999997</v>
      </c>
      <c r="E140" s="97">
        <f>E139*(1+parameters!$B$14)</f>
        <v>10.62130644</v>
      </c>
      <c r="F140" s="97">
        <f>F139*(1+parameters!$B$14)</f>
        <v>41.567335079999992</v>
      </c>
      <c r="G140" s="97">
        <f>G139*(1+parameters!$B$14)</f>
        <v>45.632279520000004</v>
      </c>
      <c r="H140" s="97">
        <f>H139*(1+parameters!$B$14)</f>
        <v>27.274465920000004</v>
      </c>
      <c r="I140" s="97">
        <f>I139*(1+parameters!$B$14)</f>
        <v>96.378521400000011</v>
      </c>
      <c r="J140" s="97">
        <f>J139*(1+parameters!$B$14)</f>
        <v>12.325960559999999</v>
      </c>
      <c r="K140" s="97">
        <f>K139*(1+parameters!$B$14)</f>
        <v>52.188641520000004</v>
      </c>
      <c r="L140" s="97">
        <f>L139*(1+parameters!$B$14)</f>
        <v>6.2941075200000007</v>
      </c>
      <c r="M140" s="97">
        <f>M139*(1+parameters!$B$14)</f>
        <v>23.734030440000005</v>
      </c>
      <c r="N140" s="97">
        <f>N139*(1+parameters!$B$14)</f>
        <v>52.188641520000004</v>
      </c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  <c r="AH140" s="97"/>
      <c r="AI140" s="97"/>
      <c r="AJ140" s="97"/>
      <c r="AK140" s="97"/>
      <c r="AL140" s="97"/>
      <c r="AM140" s="97"/>
      <c r="AN140" s="97"/>
      <c r="AO140" s="97"/>
      <c r="AP140" s="97"/>
      <c r="AQ140" s="97"/>
      <c r="AR140" s="97"/>
    </row>
    <row r="141" spans="1:44">
      <c r="B141" s="99">
        <f t="shared" si="49"/>
        <v>5</v>
      </c>
      <c r="C141" s="97">
        <f>C140*(1+parameters!$B$14)</f>
        <v>312.39622530360003</v>
      </c>
      <c r="D141" s="97">
        <f>D140*(1+parameters!$B$14)</f>
        <v>20.664341751599999</v>
      </c>
      <c r="E141" s="97">
        <f>E140*(1+parameters!$B$14)</f>
        <v>10.939945633200001</v>
      </c>
      <c r="F141" s="97">
        <f>F140*(1+parameters!$B$14)</f>
        <v>42.814355132399996</v>
      </c>
      <c r="G141" s="97">
        <f>G140*(1+parameters!$B$14)</f>
        <v>47.001247905600003</v>
      </c>
      <c r="H141" s="97">
        <f>H140*(1+parameters!$B$14)</f>
        <v>28.092699897600006</v>
      </c>
      <c r="I141" s="97">
        <f>I140*(1+parameters!$B$14)</f>
        <v>99.269877042000019</v>
      </c>
      <c r="J141" s="97">
        <f>J140*(1+parameters!$B$14)</f>
        <v>12.695739376799999</v>
      </c>
      <c r="K141" s="97">
        <f>K140*(1+parameters!$B$14)</f>
        <v>53.754300765600007</v>
      </c>
      <c r="L141" s="97">
        <f>L140*(1+parameters!$B$14)</f>
        <v>6.4829307456000009</v>
      </c>
      <c r="M141" s="97">
        <f>M140*(1+parameters!$B$14)</f>
        <v>24.446051353200005</v>
      </c>
      <c r="N141" s="97">
        <f>N140*(1+parameters!$B$14)</f>
        <v>53.754300765600007</v>
      </c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  <c r="AH141" s="97"/>
      <c r="AI141" s="97"/>
      <c r="AJ141" s="97"/>
      <c r="AK141" s="97"/>
      <c r="AL141" s="97"/>
      <c r="AM141" s="97"/>
      <c r="AN141" s="97"/>
      <c r="AO141" s="97"/>
      <c r="AP141" s="97"/>
      <c r="AQ141" s="97"/>
      <c r="AR141" s="97"/>
    </row>
    <row r="142" spans="1:44">
      <c r="B142" s="99">
        <f t="shared" si="49"/>
        <v>6</v>
      </c>
      <c r="C142" s="97">
        <f>C141*(1+parameters!$B$14)</f>
        <v>321.76811206270804</v>
      </c>
      <c r="D142" s="97">
        <f>D141*(1+parameters!$B$14)</f>
        <v>21.284272004148001</v>
      </c>
      <c r="E142" s="97">
        <f>E141*(1+parameters!$B$14)</f>
        <v>11.268144002196001</v>
      </c>
      <c r="F142" s="97">
        <f>F141*(1+parameters!$B$14)</f>
        <v>44.098785786371998</v>
      </c>
      <c r="G142" s="97">
        <f>G141*(1+parameters!$B$14)</f>
        <v>48.411285342768004</v>
      </c>
      <c r="H142" s="97">
        <f>H141*(1+parameters!$B$14)</f>
        <v>28.935480894528009</v>
      </c>
      <c r="I142" s="97">
        <f>I141*(1+parameters!$B$14)</f>
        <v>102.24797335326002</v>
      </c>
      <c r="J142" s="97">
        <f>J141*(1+parameters!$B$14)</f>
        <v>13.076611558103998</v>
      </c>
      <c r="K142" s="97">
        <f>K141*(1+parameters!$B$14)</f>
        <v>55.366929788568008</v>
      </c>
      <c r="L142" s="97">
        <f>L141*(1+parameters!$B$14)</f>
        <v>6.6774186679680012</v>
      </c>
      <c r="M142" s="97">
        <f>M141*(1+parameters!$B$14)</f>
        <v>25.179432893796005</v>
      </c>
      <c r="N142" s="97">
        <f>N141*(1+parameters!$B$14)</f>
        <v>55.366929788568008</v>
      </c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  <c r="AJ142" s="97"/>
      <c r="AK142" s="97"/>
      <c r="AL142" s="97"/>
      <c r="AM142" s="97"/>
      <c r="AN142" s="97"/>
      <c r="AO142" s="97"/>
      <c r="AP142" s="97"/>
      <c r="AQ142" s="97"/>
      <c r="AR142" s="97"/>
    </row>
    <row r="143" spans="1:44">
      <c r="B143" s="99">
        <f t="shared" si="49"/>
        <v>7</v>
      </c>
      <c r="C143" s="97">
        <f>C142*(1+parameters!$B$14)</f>
        <v>331.4211554245893</v>
      </c>
      <c r="D143" s="97">
        <f>D142*(1+parameters!$B$14)</f>
        <v>21.922800164272441</v>
      </c>
      <c r="E143" s="97">
        <f>E142*(1+parameters!$B$14)</f>
        <v>11.606188322261881</v>
      </c>
      <c r="F143" s="97">
        <f>F142*(1+parameters!$B$14)</f>
        <v>45.421749359963158</v>
      </c>
      <c r="G143" s="97">
        <f>G142*(1+parameters!$B$14)</f>
        <v>49.863623903051042</v>
      </c>
      <c r="H143" s="97">
        <f>H142*(1+parameters!$B$14)</f>
        <v>29.803545321363849</v>
      </c>
      <c r="I143" s="97">
        <f>I142*(1+parameters!$B$14)</f>
        <v>105.31541255385783</v>
      </c>
      <c r="J143" s="97">
        <f>J142*(1+parameters!$B$14)</f>
        <v>13.468909904847118</v>
      </c>
      <c r="K143" s="97">
        <f>K142*(1+parameters!$B$14)</f>
        <v>57.027937682225051</v>
      </c>
      <c r="L143" s="97">
        <f>L142*(1+parameters!$B$14)</f>
        <v>6.8777412280070411</v>
      </c>
      <c r="M143" s="97">
        <f>M142*(1+parameters!$B$14)</f>
        <v>25.934815880609886</v>
      </c>
      <c r="N143" s="97">
        <f>N142*(1+parameters!$B$14)</f>
        <v>57.027937682225051</v>
      </c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  <c r="AH143" s="97"/>
      <c r="AI143" s="97"/>
      <c r="AJ143" s="97"/>
      <c r="AK143" s="97"/>
      <c r="AL143" s="97"/>
      <c r="AM143" s="97"/>
      <c r="AN143" s="97"/>
      <c r="AO143" s="97"/>
      <c r="AP143" s="97"/>
      <c r="AQ143" s="97"/>
      <c r="AR143" s="97"/>
    </row>
    <row r="144" spans="1:44">
      <c r="B144" s="99">
        <f t="shared" si="49"/>
        <v>8</v>
      </c>
      <c r="C144" s="97">
        <f>C143*(1+parameters!$B$14)</f>
        <v>341.363790087327</v>
      </c>
      <c r="D144" s="97">
        <f>D143*(1+parameters!$B$14)</f>
        <v>22.580484169200616</v>
      </c>
      <c r="E144" s="97">
        <f>E143*(1+parameters!$B$14)</f>
        <v>11.954373971929737</v>
      </c>
      <c r="F144" s="97">
        <f>F143*(1+parameters!$B$14)</f>
        <v>46.784401840762051</v>
      </c>
      <c r="G144" s="97">
        <f>G143*(1+parameters!$B$14)</f>
        <v>51.359532620142573</v>
      </c>
      <c r="H144" s="97">
        <f>H143*(1+parameters!$B$14)</f>
        <v>30.697651681004764</v>
      </c>
      <c r="I144" s="97">
        <f>I143*(1+parameters!$B$14)</f>
        <v>108.47487493047356</v>
      </c>
      <c r="J144" s="97">
        <f>J143*(1+parameters!$B$14)</f>
        <v>13.872977201992532</v>
      </c>
      <c r="K144" s="97">
        <f>K143*(1+parameters!$B$14)</f>
        <v>58.738775812691806</v>
      </c>
      <c r="L144" s="97">
        <f>L143*(1+parameters!$B$14)</f>
        <v>7.0840734648472523</v>
      </c>
      <c r="M144" s="97">
        <f>M143*(1+parameters!$B$14)</f>
        <v>26.712860357028184</v>
      </c>
      <c r="N144" s="97">
        <f>N143*(1+parameters!$B$14)</f>
        <v>58.738775812691806</v>
      </c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  <c r="AH144" s="97"/>
      <c r="AI144" s="97"/>
      <c r="AJ144" s="97"/>
      <c r="AK144" s="97"/>
      <c r="AL144" s="97"/>
      <c r="AM144" s="97"/>
      <c r="AN144" s="97"/>
      <c r="AO144" s="97"/>
      <c r="AP144" s="97"/>
      <c r="AQ144" s="97"/>
      <c r="AR144" s="97"/>
    </row>
    <row r="145" spans="2:44">
      <c r="B145" s="99">
        <f t="shared" si="49"/>
        <v>9</v>
      </c>
      <c r="C145" s="97">
        <f>C144*(1+parameters!$B$14)</f>
        <v>351.60470378994683</v>
      </c>
      <c r="D145" s="97">
        <f>D144*(1+parameters!$B$14)</f>
        <v>23.257898694276637</v>
      </c>
      <c r="E145" s="97">
        <f>E144*(1+parameters!$B$14)</f>
        <v>12.31300519108763</v>
      </c>
      <c r="F145" s="97">
        <f>F144*(1+parameters!$B$14)</f>
        <v>48.187933895984912</v>
      </c>
      <c r="G145" s="97">
        <f>G144*(1+parameters!$B$14)</f>
        <v>52.90031859874685</v>
      </c>
      <c r="H145" s="97">
        <f>H144*(1+parameters!$B$14)</f>
        <v>31.618581231434909</v>
      </c>
      <c r="I145" s="97">
        <f>I144*(1+parameters!$B$14)</f>
        <v>111.72912117838777</v>
      </c>
      <c r="J145" s="97">
        <f>J144*(1+parameters!$B$14)</f>
        <v>14.289166518052308</v>
      </c>
      <c r="K145" s="97">
        <f>K144*(1+parameters!$B$14)</f>
        <v>60.50093908707256</v>
      </c>
      <c r="L145" s="97">
        <f>L144*(1+parameters!$B$14)</f>
        <v>7.2965956687926701</v>
      </c>
      <c r="M145" s="97">
        <f>M144*(1+parameters!$B$14)</f>
        <v>27.514246167739032</v>
      </c>
      <c r="N145" s="97">
        <f>N144*(1+parameters!$B$14)</f>
        <v>60.50093908707256</v>
      </c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  <c r="AH145" s="97"/>
      <c r="AI145" s="97"/>
      <c r="AJ145" s="97"/>
      <c r="AK145" s="97"/>
      <c r="AL145" s="97"/>
      <c r="AM145" s="97"/>
      <c r="AN145" s="97"/>
      <c r="AO145" s="97"/>
      <c r="AP145" s="97"/>
      <c r="AQ145" s="97"/>
      <c r="AR145" s="97"/>
    </row>
    <row r="146" spans="2:44">
      <c r="B146" s="99">
        <f t="shared" si="49"/>
        <v>10</v>
      </c>
      <c r="C146" s="97">
        <f>C145*(1+parameters!$B$14)</f>
        <v>362.15284490364525</v>
      </c>
      <c r="D146" s="97">
        <f>D145*(1+parameters!$B$14)</f>
        <v>23.955635655104938</v>
      </c>
      <c r="E146" s="97">
        <f>E145*(1+parameters!$B$14)</f>
        <v>12.682395346820259</v>
      </c>
      <c r="F146" s="97">
        <f>F145*(1+parameters!$B$14)</f>
        <v>49.633571912864461</v>
      </c>
      <c r="G146" s="97">
        <f>G145*(1+parameters!$B$14)</f>
        <v>54.487328156709253</v>
      </c>
      <c r="H146" s="97">
        <f>H145*(1+parameters!$B$14)</f>
        <v>32.567138668377957</v>
      </c>
      <c r="I146" s="97">
        <f>I145*(1+parameters!$B$14)</f>
        <v>115.08099481373941</v>
      </c>
      <c r="J146" s="97">
        <f>J145*(1+parameters!$B$14)</f>
        <v>14.717841513593878</v>
      </c>
      <c r="K146" s="97">
        <f>K145*(1+parameters!$B$14)</f>
        <v>62.31596725968474</v>
      </c>
      <c r="L146" s="97">
        <f>L145*(1+parameters!$B$14)</f>
        <v>7.5154935388564503</v>
      </c>
      <c r="M146" s="97">
        <f>M145*(1+parameters!$B$14)</f>
        <v>28.339673552771202</v>
      </c>
      <c r="N146" s="97">
        <f>N145*(1+parameters!$B$14)</f>
        <v>62.31596725968474</v>
      </c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  <c r="AH146" s="97"/>
      <c r="AI146" s="97"/>
      <c r="AJ146" s="97"/>
      <c r="AK146" s="97"/>
      <c r="AL146" s="97"/>
      <c r="AM146" s="97"/>
      <c r="AN146" s="97"/>
      <c r="AO146" s="97"/>
      <c r="AP146" s="97"/>
      <c r="AQ146" s="97"/>
      <c r="AR146" s="97"/>
    </row>
    <row r="147" spans="2:44">
      <c r="B147" s="99">
        <f t="shared" si="49"/>
        <v>11</v>
      </c>
      <c r="C147" s="97">
        <f>C146*(1+parameters!$B$14)</f>
        <v>373.01743025075461</v>
      </c>
      <c r="D147" s="97">
        <f>D146*(1+parameters!$B$14)</f>
        <v>24.674304724758088</v>
      </c>
      <c r="E147" s="97">
        <f>E146*(1+parameters!$B$14)</f>
        <v>13.062867207224867</v>
      </c>
      <c r="F147" s="97">
        <f>F146*(1+parameters!$B$14)</f>
        <v>51.122579070250396</v>
      </c>
      <c r="G147" s="97">
        <f>G146*(1+parameters!$B$14)</f>
        <v>56.12194800141053</v>
      </c>
      <c r="H147" s="97">
        <f>H146*(1+parameters!$B$14)</f>
        <v>33.544152828429297</v>
      </c>
      <c r="I147" s="97">
        <f>I146*(1+parameters!$B$14)</f>
        <v>118.53342465815159</v>
      </c>
      <c r="J147" s="97">
        <f>J146*(1+parameters!$B$14)</f>
        <v>15.159376759001695</v>
      </c>
      <c r="K147" s="97">
        <f>K146*(1+parameters!$B$14)</f>
        <v>64.185446277475279</v>
      </c>
      <c r="L147" s="97">
        <f>L146*(1+parameters!$B$14)</f>
        <v>7.7409583450221442</v>
      </c>
      <c r="M147" s="97">
        <f>M146*(1+parameters!$B$14)</f>
        <v>29.189863759354338</v>
      </c>
      <c r="N147" s="97">
        <f>N146*(1+parameters!$B$14)</f>
        <v>64.185446277475279</v>
      </c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  <c r="AH147" s="97"/>
      <c r="AI147" s="97"/>
      <c r="AJ147" s="97"/>
      <c r="AK147" s="97"/>
      <c r="AL147" s="97"/>
      <c r="AM147" s="97"/>
      <c r="AN147" s="97"/>
      <c r="AO147" s="97"/>
      <c r="AP147" s="97"/>
      <c r="AQ147" s="97"/>
      <c r="AR147" s="97"/>
    </row>
    <row r="148" spans="2:44">
      <c r="B148" s="99">
        <f t="shared" si="49"/>
        <v>12</v>
      </c>
      <c r="C148" s="97">
        <f>C147*(1+parameters!$B$14)</f>
        <v>384.20795315827723</v>
      </c>
      <c r="D148" s="97">
        <f>D147*(1+parameters!$B$14)</f>
        <v>25.414533866500832</v>
      </c>
      <c r="E148" s="97">
        <f>E147*(1+parameters!$B$14)</f>
        <v>13.454753223441614</v>
      </c>
      <c r="F148" s="97">
        <f>F147*(1+parameters!$B$14)</f>
        <v>52.656256442357908</v>
      </c>
      <c r="G148" s="97">
        <f>G147*(1+parameters!$B$14)</f>
        <v>57.805606441452845</v>
      </c>
      <c r="H148" s="97">
        <f>H147*(1+parameters!$B$14)</f>
        <v>34.550477413282174</v>
      </c>
      <c r="I148" s="97">
        <f>I147*(1+parameters!$B$14)</f>
        <v>122.08942739789615</v>
      </c>
      <c r="J148" s="97">
        <f>J147*(1+parameters!$B$14)</f>
        <v>15.614158061771747</v>
      </c>
      <c r="K148" s="97">
        <f>K147*(1+parameters!$B$14)</f>
        <v>66.111009665799543</v>
      </c>
      <c r="L148" s="97">
        <f>L147*(1+parameters!$B$14)</f>
        <v>7.9731870953728086</v>
      </c>
      <c r="M148" s="97">
        <f>M147*(1+parameters!$B$14)</f>
        <v>30.06555967213497</v>
      </c>
      <c r="N148" s="97">
        <f>N147*(1+parameters!$B$14)</f>
        <v>66.111009665799543</v>
      </c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  <c r="AH148" s="97"/>
      <c r="AI148" s="97"/>
      <c r="AJ148" s="97"/>
      <c r="AK148" s="97"/>
      <c r="AL148" s="97"/>
      <c r="AM148" s="97"/>
      <c r="AN148" s="97"/>
      <c r="AO148" s="97"/>
      <c r="AP148" s="97"/>
      <c r="AQ148" s="97"/>
      <c r="AR148" s="97"/>
    </row>
    <row r="149" spans="2:44">
      <c r="B149" s="99">
        <f t="shared" si="49"/>
        <v>13</v>
      </c>
      <c r="C149" s="97">
        <f>C148*(1+parameters!$B$14)</f>
        <v>395.73419175302558</v>
      </c>
      <c r="D149" s="97">
        <f>D148*(1+parameters!$B$14)</f>
        <v>26.176969882495857</v>
      </c>
      <c r="E149" s="97">
        <f>E148*(1+parameters!$B$14)</f>
        <v>13.858395820144862</v>
      </c>
      <c r="F149" s="97">
        <f>F148*(1+parameters!$B$14)</f>
        <v>54.23594413562865</v>
      </c>
      <c r="G149" s="97">
        <f>G148*(1+parameters!$B$14)</f>
        <v>59.539774634696435</v>
      </c>
      <c r="H149" s="97">
        <f>H148*(1+parameters!$B$14)</f>
        <v>35.586991735680641</v>
      </c>
      <c r="I149" s="97">
        <f>I148*(1+parameters!$B$14)</f>
        <v>125.75211021983303</v>
      </c>
      <c r="J149" s="97">
        <f>J148*(1+parameters!$B$14)</f>
        <v>16.082582803624899</v>
      </c>
      <c r="K149" s="97">
        <f>K148*(1+parameters!$B$14)</f>
        <v>68.094339955773535</v>
      </c>
      <c r="L149" s="97">
        <f>L148*(1+parameters!$B$14)</f>
        <v>8.2123827082339922</v>
      </c>
      <c r="M149" s="97">
        <f>M148*(1+parameters!$B$14)</f>
        <v>30.96752646229902</v>
      </c>
      <c r="N149" s="97">
        <f>N148*(1+parameters!$B$14)</f>
        <v>68.094339955773535</v>
      </c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</row>
    <row r="150" spans="2:44">
      <c r="B150" s="99">
        <f t="shared" si="49"/>
        <v>14</v>
      </c>
      <c r="C150" s="97">
        <f>C149*(1+parameters!$B$14)</f>
        <v>407.60621750561637</v>
      </c>
      <c r="D150" s="97">
        <f>D149*(1+parameters!$B$14)</f>
        <v>26.962278978970733</v>
      </c>
      <c r="E150" s="97">
        <f>E149*(1+parameters!$B$14)</f>
        <v>14.274147694749209</v>
      </c>
      <c r="F150" s="97">
        <f>F149*(1+parameters!$B$14)</f>
        <v>55.863022459697511</v>
      </c>
      <c r="G150" s="97">
        <f>G149*(1+parameters!$B$14)</f>
        <v>61.325967873737333</v>
      </c>
      <c r="H150" s="97">
        <f>H149*(1+parameters!$B$14)</f>
        <v>36.654601487751059</v>
      </c>
      <c r="I150" s="97">
        <f>I149*(1+parameters!$B$14)</f>
        <v>129.52467352642802</v>
      </c>
      <c r="J150" s="97">
        <f>J149*(1+parameters!$B$14)</f>
        <v>16.565060287733647</v>
      </c>
      <c r="K150" s="97">
        <f>K149*(1+parameters!$B$14)</f>
        <v>70.137170154446736</v>
      </c>
      <c r="L150" s="97">
        <f>L149*(1+parameters!$B$14)</f>
        <v>8.458754189481013</v>
      </c>
      <c r="M150" s="97">
        <f>M149*(1+parameters!$B$14)</f>
        <v>31.89655225616799</v>
      </c>
      <c r="N150" s="97">
        <f>N149*(1+parameters!$B$14)</f>
        <v>70.137170154446736</v>
      </c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  <c r="AH150" s="97"/>
      <c r="AI150" s="97"/>
      <c r="AJ150" s="97"/>
      <c r="AK150" s="97"/>
      <c r="AL150" s="97"/>
      <c r="AM150" s="97"/>
      <c r="AN150" s="97"/>
      <c r="AO150" s="97"/>
      <c r="AP150" s="97"/>
      <c r="AQ150" s="97"/>
      <c r="AR150" s="97"/>
    </row>
    <row r="151" spans="2:44">
      <c r="B151" s="99">
        <f t="shared" si="49"/>
        <v>15</v>
      </c>
      <c r="C151" s="97">
        <f>C150*(1+parameters!$B$14)</f>
        <v>419.83440403078487</v>
      </c>
      <c r="D151" s="97">
        <f>D150*(1+parameters!$B$14)</f>
        <v>27.771147348339856</v>
      </c>
      <c r="E151" s="97">
        <f>E150*(1+parameters!$B$14)</f>
        <v>14.702372125591685</v>
      </c>
      <c r="F151" s="97">
        <f>F150*(1+parameters!$B$14)</f>
        <v>57.538913133488435</v>
      </c>
      <c r="G151" s="97">
        <f>G150*(1+parameters!$B$14)</f>
        <v>63.165746909949455</v>
      </c>
      <c r="H151" s="97">
        <f>H150*(1+parameters!$B$14)</f>
        <v>37.754239532383593</v>
      </c>
      <c r="I151" s="97">
        <f>I150*(1+parameters!$B$14)</f>
        <v>133.41041373222086</v>
      </c>
      <c r="J151" s="97">
        <f>J150*(1+parameters!$B$14)</f>
        <v>17.062012096365656</v>
      </c>
      <c r="K151" s="97">
        <f>K150*(1+parameters!$B$14)</f>
        <v>72.241285259080144</v>
      </c>
      <c r="L151" s="97">
        <f>L150*(1+parameters!$B$14)</f>
        <v>8.7125168151654435</v>
      </c>
      <c r="M151" s="97">
        <f>M150*(1+parameters!$B$14)</f>
        <v>32.853448823853029</v>
      </c>
      <c r="N151" s="97">
        <f>N150*(1+parameters!$B$14)</f>
        <v>72.241285259080144</v>
      </c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  <c r="AH151" s="97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</row>
    <row r="152" spans="2:44">
      <c r="B152" s="99">
        <f t="shared" si="49"/>
        <v>16</v>
      </c>
      <c r="C152" s="97">
        <f>C151*(1+parameters!$B$14)</f>
        <v>432.42943615170844</v>
      </c>
      <c r="D152" s="97">
        <f>D151*(1+parameters!$B$14)</f>
        <v>28.604281768790052</v>
      </c>
      <c r="E152" s="97">
        <f>E151*(1+parameters!$B$14)</f>
        <v>15.143443289359436</v>
      </c>
      <c r="F152" s="97">
        <f>F151*(1+parameters!$B$14)</f>
        <v>59.26508052749309</v>
      </c>
      <c r="G152" s="97">
        <f>G151*(1+parameters!$B$14)</f>
        <v>65.060719317247944</v>
      </c>
      <c r="H152" s="97">
        <f>H151*(1+parameters!$B$14)</f>
        <v>38.886866718355101</v>
      </c>
      <c r="I152" s="97">
        <f>I151*(1+parameters!$B$14)</f>
        <v>137.4127261441875</v>
      </c>
      <c r="J152" s="97">
        <f>J151*(1+parameters!$B$14)</f>
        <v>17.573872459256627</v>
      </c>
      <c r="K152" s="97">
        <f>K151*(1+parameters!$B$14)</f>
        <v>74.408523816852551</v>
      </c>
      <c r="L152" s="97">
        <f>L151*(1+parameters!$B$14)</f>
        <v>8.9738923196204077</v>
      </c>
      <c r="M152" s="97">
        <f>M151*(1+parameters!$B$14)</f>
        <v>33.839052288568624</v>
      </c>
      <c r="N152" s="97">
        <f>N151*(1+parameters!$B$14)</f>
        <v>74.408523816852551</v>
      </c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  <c r="AH152" s="97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</row>
    <row r="153" spans="2:44">
      <c r="B153" s="99">
        <f t="shared" si="49"/>
        <v>17</v>
      </c>
      <c r="C153" s="97">
        <f>C152*(1+parameters!$B$14)</f>
        <v>445.4023192362597</v>
      </c>
      <c r="D153" s="97">
        <f>D152*(1+parameters!$B$14)</f>
        <v>29.462410221853755</v>
      </c>
      <c r="E153" s="97">
        <f>E152*(1+parameters!$B$14)</f>
        <v>15.597746588040218</v>
      </c>
      <c r="F153" s="97">
        <f>F152*(1+parameters!$B$14)</f>
        <v>61.043032943317883</v>
      </c>
      <c r="G153" s="97">
        <f>G152*(1+parameters!$B$14)</f>
        <v>67.012540896765387</v>
      </c>
      <c r="H153" s="97">
        <f>H152*(1+parameters!$B$14)</f>
        <v>40.053472719905756</v>
      </c>
      <c r="I153" s="97">
        <f>I152*(1+parameters!$B$14)</f>
        <v>141.53510792851313</v>
      </c>
      <c r="J153" s="97">
        <f>J152*(1+parameters!$B$14)</f>
        <v>18.101088633034326</v>
      </c>
      <c r="K153" s="97">
        <f>K152*(1+parameters!$B$14)</f>
        <v>76.640779531358135</v>
      </c>
      <c r="L153" s="97">
        <f>L152*(1+parameters!$B$14)</f>
        <v>9.2431090892090193</v>
      </c>
      <c r="M153" s="97">
        <f>M152*(1+parameters!$B$14)</f>
        <v>34.854223857225684</v>
      </c>
      <c r="N153" s="97">
        <f>N152*(1+parameters!$B$14)</f>
        <v>76.640779531358135</v>
      </c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  <c r="AH153" s="97"/>
      <c r="AI153" s="97"/>
      <c r="AJ153" s="97"/>
      <c r="AK153" s="97"/>
      <c r="AL153" s="97"/>
      <c r="AM153" s="97"/>
      <c r="AN153" s="97"/>
      <c r="AO153" s="97"/>
      <c r="AP153" s="97"/>
      <c r="AQ153" s="97"/>
      <c r="AR153" s="97"/>
    </row>
    <row r="154" spans="2:44">
      <c r="B154" s="99">
        <f t="shared" si="49"/>
        <v>18</v>
      </c>
      <c r="C154" s="97">
        <f>C153*(1+parameters!$B$14)</f>
        <v>458.76438881334752</v>
      </c>
      <c r="D154" s="97">
        <f>D153*(1+parameters!$B$14)</f>
        <v>30.34628252850937</v>
      </c>
      <c r="E154" s="97">
        <f>E153*(1+parameters!$B$14)</f>
        <v>16.065678985681426</v>
      </c>
      <c r="F154" s="97">
        <f>F153*(1+parameters!$B$14)</f>
        <v>62.874323931617418</v>
      </c>
      <c r="G154" s="97">
        <f>G153*(1+parameters!$B$14)</f>
        <v>69.02291712366835</v>
      </c>
      <c r="H154" s="97">
        <f>H153*(1+parameters!$B$14)</f>
        <v>41.255076901502932</v>
      </c>
      <c r="I154" s="97">
        <f>I153*(1+parameters!$B$14)</f>
        <v>145.78116116636852</v>
      </c>
      <c r="J154" s="97">
        <f>J153*(1+parameters!$B$14)</f>
        <v>18.644121292025357</v>
      </c>
      <c r="K154" s="97">
        <f>K153*(1+parameters!$B$14)</f>
        <v>78.940002917298884</v>
      </c>
      <c r="L154" s="97">
        <f>L153*(1+parameters!$B$14)</f>
        <v>9.5204023618852904</v>
      </c>
      <c r="M154" s="97">
        <f>M153*(1+parameters!$B$14)</f>
        <v>35.899850572942455</v>
      </c>
      <c r="N154" s="97">
        <f>N153*(1+parameters!$B$14)</f>
        <v>78.940002917298884</v>
      </c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  <c r="AH154" s="97"/>
      <c r="AI154" s="97"/>
      <c r="AJ154" s="97"/>
      <c r="AK154" s="97"/>
      <c r="AL154" s="97"/>
      <c r="AM154" s="97"/>
      <c r="AN154" s="97"/>
      <c r="AO154" s="97"/>
      <c r="AP154" s="97"/>
      <c r="AQ154" s="97"/>
      <c r="AR154" s="97"/>
    </row>
    <row r="155" spans="2:44">
      <c r="B155" s="99">
        <f t="shared" si="49"/>
        <v>19</v>
      </c>
      <c r="C155" s="97">
        <f>C154*(1+parameters!$B$14)</f>
        <v>472.52732047774794</v>
      </c>
      <c r="D155" s="97">
        <f>D154*(1+parameters!$B$14)</f>
        <v>31.256671004364652</v>
      </c>
      <c r="E155" s="97">
        <f>E154*(1+parameters!$B$14)</f>
        <v>16.54764935525187</v>
      </c>
      <c r="F155" s="97">
        <f>F154*(1+parameters!$B$14)</f>
        <v>64.760553649565949</v>
      </c>
      <c r="G155" s="97">
        <f>G154*(1+parameters!$B$14)</f>
        <v>71.093604637378405</v>
      </c>
      <c r="H155" s="97">
        <f>H154*(1+parameters!$B$14)</f>
        <v>42.49272920854802</v>
      </c>
      <c r="I155" s="97">
        <f>I154*(1+parameters!$B$14)</f>
        <v>150.15459600135958</v>
      </c>
      <c r="J155" s="97">
        <f>J154*(1+parameters!$B$14)</f>
        <v>19.203444930786119</v>
      </c>
      <c r="K155" s="97">
        <f>K154*(1+parameters!$B$14)</f>
        <v>81.308203004817855</v>
      </c>
      <c r="L155" s="97">
        <f>L154*(1+parameters!$B$14)</f>
        <v>9.8060144327418488</v>
      </c>
      <c r="M155" s="97">
        <f>M154*(1+parameters!$B$14)</f>
        <v>36.976846090130728</v>
      </c>
      <c r="N155" s="97">
        <f>N154*(1+parameters!$B$14)</f>
        <v>81.308203004817855</v>
      </c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  <c r="AH155" s="97"/>
      <c r="AI155" s="97"/>
      <c r="AJ155" s="97"/>
      <c r="AK155" s="97"/>
      <c r="AL155" s="97"/>
      <c r="AM155" s="97"/>
      <c r="AN155" s="97"/>
      <c r="AO155" s="97"/>
      <c r="AP155" s="97"/>
      <c r="AQ155" s="97"/>
      <c r="AR155" s="97"/>
    </row>
    <row r="156" spans="2:44">
      <c r="B156" s="99">
        <f t="shared" si="49"/>
        <v>20</v>
      </c>
      <c r="C156" s="97">
        <f>C155*(1+parameters!$B$14)</f>
        <v>486.70314009208039</v>
      </c>
      <c r="D156" s="97">
        <f>D155*(1+parameters!$B$14)</f>
        <v>32.19437113449559</v>
      </c>
      <c r="E156" s="97">
        <f>E155*(1+parameters!$B$14)</f>
        <v>17.044078835909428</v>
      </c>
      <c r="F156" s="97">
        <f>F155*(1+parameters!$B$14)</f>
        <v>66.703370259052932</v>
      </c>
      <c r="G156" s="97">
        <f>G155*(1+parameters!$B$14)</f>
        <v>73.226412776499757</v>
      </c>
      <c r="H156" s="97">
        <f>H155*(1+parameters!$B$14)</f>
        <v>43.767511084804461</v>
      </c>
      <c r="I156" s="97">
        <f>I155*(1+parameters!$B$14)</f>
        <v>154.65923388140038</v>
      </c>
      <c r="J156" s="97">
        <f>J155*(1+parameters!$B$14)</f>
        <v>19.779548278709704</v>
      </c>
      <c r="K156" s="97">
        <f>K155*(1+parameters!$B$14)</f>
        <v>83.747449094962391</v>
      </c>
      <c r="L156" s="97">
        <f>L155*(1+parameters!$B$14)</f>
        <v>10.100194865724104</v>
      </c>
      <c r="M156" s="97">
        <f>M155*(1+parameters!$B$14)</f>
        <v>38.086151472834651</v>
      </c>
      <c r="N156" s="97">
        <f>N155*(1+parameters!$B$14)</f>
        <v>83.747449094962391</v>
      </c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  <c r="AH156" s="97"/>
      <c r="AI156" s="97"/>
      <c r="AJ156" s="97"/>
      <c r="AK156" s="97"/>
      <c r="AL156" s="97"/>
      <c r="AM156" s="97"/>
      <c r="AN156" s="97"/>
      <c r="AO156" s="97"/>
      <c r="AP156" s="97"/>
      <c r="AQ156" s="97"/>
      <c r="AR156" s="97"/>
    </row>
    <row r="157" spans="2:44">
      <c r="B157" s="99">
        <f t="shared" si="49"/>
        <v>21</v>
      </c>
      <c r="C157" s="97">
        <f>C156*(1+parameters!$B$14)</f>
        <v>501.30423429484279</v>
      </c>
      <c r="D157" s="97">
        <f>D156*(1+parameters!$B$14)</f>
        <v>33.160202268530462</v>
      </c>
      <c r="E157" s="97">
        <f>E156*(1+parameters!$B$14)</f>
        <v>17.555401200986712</v>
      </c>
      <c r="F157" s="97">
        <f>F156*(1+parameters!$B$14)</f>
        <v>68.704471366824521</v>
      </c>
      <c r="G157" s="97">
        <f>G156*(1+parameters!$B$14)</f>
        <v>75.423205159794747</v>
      </c>
      <c r="H157" s="97">
        <f>H156*(1+parameters!$B$14)</f>
        <v>45.080536417348597</v>
      </c>
      <c r="I157" s="97">
        <f>I156*(1+parameters!$B$14)</f>
        <v>159.29901089784241</v>
      </c>
      <c r="J157" s="97">
        <f>J156*(1+parameters!$B$14)</f>
        <v>20.372934727070994</v>
      </c>
      <c r="K157" s="97">
        <f>K156*(1+parameters!$B$14)</f>
        <v>86.259872567811271</v>
      </c>
      <c r="L157" s="97">
        <f>L156*(1+parameters!$B$14)</f>
        <v>10.403200711695828</v>
      </c>
      <c r="M157" s="97">
        <f>M156*(1+parameters!$B$14)</f>
        <v>39.228736017019692</v>
      </c>
      <c r="N157" s="97">
        <f>N156*(1+parameters!$B$14)</f>
        <v>86.259872567811271</v>
      </c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  <c r="AH157" s="97"/>
      <c r="AI157" s="97"/>
      <c r="AJ157" s="97"/>
      <c r="AK157" s="97"/>
      <c r="AL157" s="97"/>
      <c r="AM157" s="97"/>
      <c r="AN157" s="97"/>
      <c r="AO157" s="97"/>
      <c r="AP157" s="97"/>
      <c r="AQ157" s="97"/>
      <c r="AR157" s="97"/>
    </row>
    <row r="158" spans="2:44">
      <c r="B158" s="99">
        <f t="shared" si="49"/>
        <v>22</v>
      </c>
      <c r="C158" s="97">
        <f>C157*(1+parameters!$B$14)</f>
        <v>516.3433613236881</v>
      </c>
      <c r="D158" s="97">
        <f>D157*(1+parameters!$B$14)</f>
        <v>34.155008336586377</v>
      </c>
      <c r="E158" s="97">
        <f>E157*(1+parameters!$B$14)</f>
        <v>18.082063237016314</v>
      </c>
      <c r="F158" s="97">
        <f>F157*(1+parameters!$B$14)</f>
        <v>70.765605507829264</v>
      </c>
      <c r="G158" s="97">
        <f>G157*(1+parameters!$B$14)</f>
        <v>77.685901314588591</v>
      </c>
      <c r="H158" s="97">
        <f>H157*(1+parameters!$B$14)</f>
        <v>46.432952509869054</v>
      </c>
      <c r="I158" s="97">
        <f>I157*(1+parameters!$B$14)</f>
        <v>164.07798122477769</v>
      </c>
      <c r="J158" s="97">
        <f>J157*(1+parameters!$B$14)</f>
        <v>20.984122768883125</v>
      </c>
      <c r="K158" s="97">
        <f>K157*(1+parameters!$B$14)</f>
        <v>88.847668744845606</v>
      </c>
      <c r="L158" s="97">
        <f>L157*(1+parameters!$B$14)</f>
        <v>10.715296733046703</v>
      </c>
      <c r="M158" s="97">
        <f>M157*(1+parameters!$B$14)</f>
        <v>40.40559809753028</v>
      </c>
      <c r="N158" s="97">
        <f>N157*(1+parameters!$B$14)</f>
        <v>88.847668744845606</v>
      </c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  <c r="AH158" s="97"/>
      <c r="AI158" s="97"/>
      <c r="AJ158" s="97"/>
      <c r="AK158" s="97"/>
      <c r="AL158" s="97"/>
      <c r="AM158" s="97"/>
      <c r="AN158" s="97"/>
      <c r="AO158" s="97"/>
      <c r="AP158" s="97"/>
      <c r="AQ158" s="97"/>
      <c r="AR158" s="97"/>
    </row>
    <row r="159" spans="2:44">
      <c r="B159" s="99">
        <f t="shared" si="49"/>
        <v>23</v>
      </c>
      <c r="C159" s="97">
        <f>C158*(1+parameters!$B$14)</f>
        <v>531.8336621633988</v>
      </c>
      <c r="D159" s="97">
        <f>D158*(1+parameters!$B$14)</f>
        <v>35.179658586683971</v>
      </c>
      <c r="E159" s="97">
        <f>E158*(1+parameters!$B$14)</f>
        <v>18.624525134126802</v>
      </c>
      <c r="F159" s="97">
        <f>F158*(1+parameters!$B$14)</f>
        <v>72.888573673064144</v>
      </c>
      <c r="G159" s="97">
        <f>G158*(1+parameters!$B$14)</f>
        <v>80.016478354026248</v>
      </c>
      <c r="H159" s="97">
        <f>H158*(1+parameters!$B$14)</f>
        <v>47.825941085165127</v>
      </c>
      <c r="I159" s="97">
        <f>I158*(1+parameters!$B$14)</f>
        <v>169.00032066152102</v>
      </c>
      <c r="J159" s="97">
        <f>J158*(1+parameters!$B$14)</f>
        <v>21.61364645194962</v>
      </c>
      <c r="K159" s="97">
        <f>K158*(1+parameters!$B$14)</f>
        <v>91.513098807190971</v>
      </c>
      <c r="L159" s="97">
        <f>L158*(1+parameters!$B$14)</f>
        <v>11.036755635038105</v>
      </c>
      <c r="M159" s="97">
        <f>M158*(1+parameters!$B$14)</f>
        <v>41.617766040456189</v>
      </c>
      <c r="N159" s="97">
        <f>N158*(1+parameters!$B$14)</f>
        <v>91.513098807190971</v>
      </c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  <c r="AH159" s="97"/>
      <c r="AI159" s="97"/>
      <c r="AJ159" s="97"/>
      <c r="AK159" s="97"/>
      <c r="AL159" s="97"/>
      <c r="AM159" s="97"/>
      <c r="AN159" s="97"/>
      <c r="AO159" s="97"/>
      <c r="AP159" s="97"/>
      <c r="AQ159" s="97"/>
      <c r="AR159" s="97"/>
    </row>
    <row r="160" spans="2:44">
      <c r="B160" s="99">
        <f t="shared" si="49"/>
        <v>24</v>
      </c>
      <c r="C160" s="97">
        <f>C159*(1+parameters!$B$14)</f>
        <v>547.78867202830077</v>
      </c>
      <c r="D160" s="97">
        <f>D159*(1+parameters!$B$14)</f>
        <v>36.235048344284493</v>
      </c>
      <c r="E160" s="97">
        <f>E159*(1+parameters!$B$14)</f>
        <v>19.183260888150606</v>
      </c>
      <c r="F160" s="97">
        <f>F159*(1+parameters!$B$14)</f>
        <v>75.075230883256069</v>
      </c>
      <c r="G160" s="97">
        <f>G159*(1+parameters!$B$14)</f>
        <v>82.416972704647037</v>
      </c>
      <c r="H160" s="97">
        <f>H159*(1+parameters!$B$14)</f>
        <v>49.260719317720081</v>
      </c>
      <c r="I160" s="97">
        <f>I159*(1+parameters!$B$14)</f>
        <v>174.07033028136664</v>
      </c>
      <c r="J160" s="97">
        <f>J159*(1+parameters!$B$14)</f>
        <v>22.262055845508108</v>
      </c>
      <c r="K160" s="97">
        <f>K159*(1+parameters!$B$14)</f>
        <v>94.258491771406696</v>
      </c>
      <c r="L160" s="97">
        <f>L159*(1+parameters!$B$14)</f>
        <v>11.367858304089248</v>
      </c>
      <c r="M160" s="97">
        <f>M159*(1+parameters!$B$14)</f>
        <v>42.866299021669874</v>
      </c>
      <c r="N160" s="97">
        <f>N159*(1+parameters!$B$14)</f>
        <v>94.258491771406696</v>
      </c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  <c r="AH160" s="97"/>
      <c r="AI160" s="97"/>
      <c r="AJ160" s="97"/>
      <c r="AK160" s="97"/>
      <c r="AL160" s="97"/>
      <c r="AM160" s="97"/>
      <c r="AN160" s="97"/>
      <c r="AO160" s="97"/>
      <c r="AP160" s="97"/>
      <c r="AQ160" s="97"/>
      <c r="AR160" s="97"/>
    </row>
    <row r="161" spans="2:44">
      <c r="B161" s="99">
        <f t="shared" si="49"/>
        <v>25</v>
      </c>
      <c r="C161" s="97">
        <f>C160*(1+parameters!$B$14)</f>
        <v>564.22233218914982</v>
      </c>
      <c r="D161" s="97">
        <f>D160*(1+parameters!$B$14)</f>
        <v>37.322099794613031</v>
      </c>
      <c r="E161" s="97">
        <f>E160*(1+parameters!$B$14)</f>
        <v>19.758758714795125</v>
      </c>
      <c r="F161" s="97">
        <f>F160*(1+parameters!$B$14)</f>
        <v>77.327487809753748</v>
      </c>
      <c r="G161" s="97">
        <f>G160*(1+parameters!$B$14)</f>
        <v>84.889481885786452</v>
      </c>
      <c r="H161" s="97">
        <f>H160*(1+parameters!$B$14)</f>
        <v>50.738540897251688</v>
      </c>
      <c r="I161" s="97">
        <f>I160*(1+parameters!$B$14)</f>
        <v>179.29244018980765</v>
      </c>
      <c r="J161" s="97">
        <f>J160*(1+parameters!$B$14)</f>
        <v>22.929917520873353</v>
      </c>
      <c r="K161" s="97">
        <f>K160*(1+parameters!$B$14)</f>
        <v>97.086246524548898</v>
      </c>
      <c r="L161" s="97">
        <f>L160*(1+parameters!$B$14)</f>
        <v>11.708894053211926</v>
      </c>
      <c r="M161" s="97">
        <f>M160*(1+parameters!$B$14)</f>
        <v>44.15228799231997</v>
      </c>
      <c r="N161" s="97">
        <f>N160*(1+parameters!$B$14)</f>
        <v>97.086246524548898</v>
      </c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  <c r="AH161" s="97"/>
      <c r="AI161" s="97"/>
      <c r="AJ161" s="97"/>
      <c r="AK161" s="97"/>
      <c r="AL161" s="97"/>
      <c r="AM161" s="97"/>
      <c r="AN161" s="97"/>
      <c r="AO161" s="97"/>
      <c r="AP161" s="97"/>
      <c r="AQ161" s="97"/>
      <c r="AR161" s="97"/>
    </row>
    <row r="162" spans="2:44">
      <c r="B162" s="99">
        <f t="shared" si="49"/>
        <v>26</v>
      </c>
      <c r="C162" s="97">
        <f>C161*(1+parameters!$B$14)</f>
        <v>581.1490021548243</v>
      </c>
      <c r="D162" s="97">
        <f>D161*(1+parameters!$B$14)</f>
        <v>38.44176278845142</v>
      </c>
      <c r="E162" s="97">
        <f>E161*(1+parameters!$B$14)</f>
        <v>20.351521476238979</v>
      </c>
      <c r="F162" s="97">
        <f>F161*(1+parameters!$B$14)</f>
        <v>79.647312444046364</v>
      </c>
      <c r="G162" s="97">
        <f>G161*(1+parameters!$B$14)</f>
        <v>87.436166342360053</v>
      </c>
      <c r="H162" s="97">
        <f>H161*(1+parameters!$B$14)</f>
        <v>52.260697124169241</v>
      </c>
      <c r="I162" s="97">
        <f>I161*(1+parameters!$B$14)</f>
        <v>184.67121339550189</v>
      </c>
      <c r="J162" s="97">
        <f>J161*(1+parameters!$B$14)</f>
        <v>23.617815046499555</v>
      </c>
      <c r="K162" s="97">
        <f>K161*(1+parameters!$B$14)</f>
        <v>99.998833920285364</v>
      </c>
      <c r="L162" s="97">
        <f>L161*(1+parameters!$B$14)</f>
        <v>12.060160874808284</v>
      </c>
      <c r="M162" s="97">
        <f>M161*(1+parameters!$B$14)</f>
        <v>45.476856632089572</v>
      </c>
      <c r="N162" s="97">
        <f>N161*(1+parameters!$B$14)</f>
        <v>99.998833920285364</v>
      </c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  <c r="AH162" s="97"/>
      <c r="AI162" s="97"/>
      <c r="AJ162" s="97"/>
      <c r="AK162" s="97"/>
      <c r="AL162" s="97"/>
      <c r="AM162" s="97"/>
      <c r="AN162" s="97"/>
      <c r="AO162" s="97"/>
      <c r="AP162" s="97"/>
      <c r="AQ162" s="97"/>
      <c r="AR162" s="97"/>
    </row>
    <row r="163" spans="2:44">
      <c r="B163" s="99">
        <f t="shared" si="49"/>
        <v>27</v>
      </c>
      <c r="C163" s="97">
        <f>C162*(1+parameters!$B$14)</f>
        <v>598.58347221946906</v>
      </c>
      <c r="D163" s="97">
        <f>D162*(1+parameters!$B$14)</f>
        <v>39.595015672104964</v>
      </c>
      <c r="E163" s="97">
        <f>E162*(1+parameters!$B$14)</f>
        <v>20.96206712052615</v>
      </c>
      <c r="F163" s="97">
        <f>F162*(1+parameters!$B$14)</f>
        <v>82.036731817367752</v>
      </c>
      <c r="G163" s="97">
        <f>G162*(1+parameters!$B$14)</f>
        <v>90.059251332630851</v>
      </c>
      <c r="H163" s="97">
        <f>H162*(1+parameters!$B$14)</f>
        <v>53.82851803789432</v>
      </c>
      <c r="I163" s="97">
        <f>I162*(1+parameters!$B$14)</f>
        <v>190.21134979736695</v>
      </c>
      <c r="J163" s="97">
        <f>J162*(1+parameters!$B$14)</f>
        <v>24.32634949789454</v>
      </c>
      <c r="K163" s="97">
        <f>K162*(1+parameters!$B$14)</f>
        <v>102.99879893789392</v>
      </c>
      <c r="L163" s="97">
        <f>L162*(1+parameters!$B$14)</f>
        <v>12.421965701052534</v>
      </c>
      <c r="M163" s="97">
        <f>M162*(1+parameters!$B$14)</f>
        <v>46.84116233105226</v>
      </c>
      <c r="N163" s="97">
        <f>N162*(1+parameters!$B$14)</f>
        <v>102.99879893789392</v>
      </c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  <c r="AH163" s="97"/>
      <c r="AI163" s="97"/>
      <c r="AJ163" s="97"/>
      <c r="AK163" s="97"/>
      <c r="AL163" s="97"/>
      <c r="AM163" s="97"/>
      <c r="AN163" s="97"/>
      <c r="AO163" s="97"/>
      <c r="AP163" s="97"/>
      <c r="AQ163" s="97"/>
      <c r="AR163" s="97"/>
    </row>
    <row r="164" spans="2:44">
      <c r="B164" s="99">
        <f>B113</f>
        <v>28</v>
      </c>
      <c r="C164" s="97">
        <f>C163*(1+parameters!$B$14)</f>
        <v>616.5409763860531</v>
      </c>
      <c r="D164" s="97">
        <f>D163*(1+parameters!$B$14)</f>
        <v>40.782866142268112</v>
      </c>
      <c r="E164" s="97">
        <f>E163*(1+parameters!$B$14)</f>
        <v>21.590929134141934</v>
      </c>
      <c r="F164" s="97">
        <f>F163*(1+parameters!$B$14)</f>
        <v>84.497833771888793</v>
      </c>
      <c r="G164" s="97">
        <f>G163*(1+parameters!$B$14)</f>
        <v>92.761028872609785</v>
      </c>
      <c r="H164" s="97">
        <f>H163*(1+parameters!$B$14)</f>
        <v>55.443373579031153</v>
      </c>
      <c r="I164" s="97">
        <f>I163*(1+parameters!$B$14)</f>
        <v>195.91769029128795</v>
      </c>
      <c r="J164" s="97">
        <f>J163*(1+parameters!$B$14)</f>
        <v>25.056139982831379</v>
      </c>
      <c r="K164" s="97">
        <f>K163*(1+parameters!$B$14)</f>
        <v>106.08876290603074</v>
      </c>
      <c r="L164" s="97">
        <f>L163*(1+parameters!$B$14)</f>
        <v>12.79462467208411</v>
      </c>
      <c r="M164" s="97">
        <f>M163*(1+parameters!$B$14)</f>
        <v>48.246397200983829</v>
      </c>
      <c r="N164" s="97">
        <f>N163*(1+parameters!$B$14)</f>
        <v>106.08876290603074</v>
      </c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  <c r="AH164" s="97"/>
      <c r="AI164" s="97"/>
      <c r="AJ164" s="97"/>
      <c r="AK164" s="97"/>
      <c r="AL164" s="97"/>
      <c r="AM164" s="97"/>
      <c r="AN164" s="97"/>
      <c r="AO164" s="97"/>
      <c r="AP164" s="97"/>
      <c r="AQ164" s="97"/>
      <c r="AR164" s="97"/>
    </row>
    <row r="165" spans="2:44">
      <c r="B165" s="99">
        <f t="shared" si="49"/>
        <v>29</v>
      </c>
      <c r="C165" s="97">
        <f>C164*(1+parameters!$B$14)</f>
        <v>635.03720567763469</v>
      </c>
      <c r="D165" s="97">
        <f>D164*(1+parameters!$B$14)</f>
        <v>42.006352126536157</v>
      </c>
      <c r="E165" s="97">
        <f>E164*(1+parameters!$B$14)</f>
        <v>22.238657008166193</v>
      </c>
      <c r="F165" s="97">
        <f>F164*(1+parameters!$B$14)</f>
        <v>87.032768785045462</v>
      </c>
      <c r="G165" s="97">
        <f>G164*(1+parameters!$B$14)</f>
        <v>95.543859738788086</v>
      </c>
      <c r="H165" s="97">
        <f>H164*(1+parameters!$B$14)</f>
        <v>57.106674786402088</v>
      </c>
      <c r="I165" s="97">
        <f>I164*(1+parameters!$B$14)</f>
        <v>201.7952210000266</v>
      </c>
      <c r="J165" s="97">
        <f>J164*(1+parameters!$B$14)</f>
        <v>25.80782418231632</v>
      </c>
      <c r="K165" s="97">
        <f>K164*(1+parameters!$B$14)</f>
        <v>109.27142579321166</v>
      </c>
      <c r="L165" s="97">
        <f>L164*(1+parameters!$B$14)</f>
        <v>13.178463412246634</v>
      </c>
      <c r="M165" s="97">
        <f>M164*(1+parameters!$B$14)</f>
        <v>49.693789117013345</v>
      </c>
      <c r="N165" s="97">
        <f>N164*(1+parameters!$B$14)</f>
        <v>109.27142579321166</v>
      </c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  <c r="AH165" s="97"/>
      <c r="AI165" s="97"/>
      <c r="AJ165" s="97"/>
      <c r="AK165" s="97"/>
      <c r="AL165" s="97"/>
      <c r="AM165" s="97"/>
      <c r="AN165" s="97"/>
      <c r="AO165" s="97"/>
      <c r="AP165" s="97"/>
      <c r="AQ165" s="97"/>
      <c r="AR165" s="97"/>
    </row>
    <row r="166" spans="2:44">
      <c r="B166" s="99">
        <f t="shared" si="49"/>
        <v>30</v>
      </c>
      <c r="C166" s="97">
        <f>C165*(1+parameters!$B$14)</f>
        <v>654.0883218479637</v>
      </c>
      <c r="D166" s="97">
        <f>D165*(1+parameters!$B$14)</f>
        <v>43.266542690332244</v>
      </c>
      <c r="E166" s="97">
        <f>E165*(1+parameters!$B$14)</f>
        <v>22.905816718411181</v>
      </c>
      <c r="F166" s="97">
        <f>F165*(1+parameters!$B$14)</f>
        <v>89.643751848596835</v>
      </c>
      <c r="G166" s="97">
        <f>G165*(1+parameters!$B$14)</f>
        <v>98.410175530951733</v>
      </c>
      <c r="H166" s="97">
        <f>H165*(1+parameters!$B$14)</f>
        <v>58.819875029994151</v>
      </c>
      <c r="I166" s="97">
        <f>I165*(1+parameters!$B$14)</f>
        <v>207.84907763002741</v>
      </c>
      <c r="J166" s="97">
        <f>J165*(1+parameters!$B$14)</f>
        <v>26.582058907785811</v>
      </c>
      <c r="K166" s="97">
        <f>K165*(1+parameters!$B$14)</f>
        <v>112.54956856700801</v>
      </c>
      <c r="L166" s="97">
        <f>L165*(1+parameters!$B$14)</f>
        <v>13.573817314614033</v>
      </c>
      <c r="M166" s="97">
        <f>M165*(1+parameters!$B$14)</f>
        <v>51.184602790523748</v>
      </c>
      <c r="N166" s="97">
        <f>N165*(1+parameters!$B$14)</f>
        <v>112.54956856700801</v>
      </c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  <c r="AH166" s="97"/>
      <c r="AI166" s="97"/>
      <c r="AJ166" s="97"/>
      <c r="AK166" s="97"/>
      <c r="AL166" s="97"/>
      <c r="AM166" s="97"/>
      <c r="AN166" s="97"/>
      <c r="AO166" s="97"/>
      <c r="AP166" s="97"/>
      <c r="AQ166" s="97"/>
      <c r="AR166" s="97"/>
    </row>
    <row r="167" spans="2:44">
      <c r="B167" s="99">
        <f t="shared" si="49"/>
        <v>31</v>
      </c>
      <c r="C167" s="97">
        <f>C166*(1+parameters!$B$14)</f>
        <v>673.71097150340267</v>
      </c>
      <c r="D167" s="97">
        <f>D166*(1+parameters!$B$14)</f>
        <v>44.564538971042211</v>
      </c>
      <c r="E167" s="97">
        <f>E166*(1+parameters!$B$14)</f>
        <v>23.592991219963515</v>
      </c>
      <c r="F167" s="97">
        <f>F166*(1+parameters!$B$14)</f>
        <v>92.333064404054738</v>
      </c>
      <c r="G167" s="97">
        <f>G166*(1+parameters!$B$14)</f>
        <v>101.36248079688029</v>
      </c>
      <c r="H167" s="97">
        <f>H166*(1+parameters!$B$14)</f>
        <v>60.584471280893979</v>
      </c>
      <c r="I167" s="97">
        <f>I166*(1+parameters!$B$14)</f>
        <v>214.08454995892825</v>
      </c>
      <c r="J167" s="97">
        <f>J166*(1+parameters!$B$14)</f>
        <v>27.379520675019386</v>
      </c>
      <c r="K167" s="97">
        <f>K166*(1+parameters!$B$14)</f>
        <v>115.92605562401825</v>
      </c>
      <c r="L167" s="97">
        <f>L166*(1+parameters!$B$14)</f>
        <v>13.981031834052454</v>
      </c>
      <c r="M167" s="97">
        <f>M166*(1+parameters!$B$14)</f>
        <v>52.720140874239462</v>
      </c>
      <c r="N167" s="97">
        <f>N166*(1+parameters!$B$14)</f>
        <v>115.92605562401825</v>
      </c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  <c r="AH167" s="97"/>
      <c r="AI167" s="97"/>
      <c r="AJ167" s="97"/>
      <c r="AK167" s="97"/>
      <c r="AL167" s="97"/>
      <c r="AM167" s="97"/>
      <c r="AN167" s="97"/>
      <c r="AO167" s="97"/>
      <c r="AP167" s="97"/>
      <c r="AQ167" s="97"/>
      <c r="AR167" s="97"/>
    </row>
    <row r="168" spans="2:44">
      <c r="B168" s="99">
        <f t="shared" si="49"/>
        <v>32</v>
      </c>
      <c r="C168" s="97">
        <f>C167*(1+parameters!$B$14)</f>
        <v>693.9223006485048</v>
      </c>
      <c r="D168" s="97">
        <f>D167*(1+parameters!$B$14)</f>
        <v>45.901475140173481</v>
      </c>
      <c r="E168" s="97">
        <f>E167*(1+parameters!$B$14)</f>
        <v>24.30078095656242</v>
      </c>
      <c r="F168" s="97">
        <f>F167*(1+parameters!$B$14)</f>
        <v>95.10305633617638</v>
      </c>
      <c r="G168" s="97">
        <f>G167*(1+parameters!$B$14)</f>
        <v>104.40335522078671</v>
      </c>
      <c r="H168" s="97">
        <f>H167*(1+parameters!$B$14)</f>
        <v>62.402005419320801</v>
      </c>
      <c r="I168" s="97">
        <f>I167*(1+parameters!$B$14)</f>
        <v>220.50708645769609</v>
      </c>
      <c r="J168" s="97">
        <f>J167*(1+parameters!$B$14)</f>
        <v>28.200906295269967</v>
      </c>
      <c r="K168" s="97">
        <f>K167*(1+parameters!$B$14)</f>
        <v>119.4038372927388</v>
      </c>
      <c r="L168" s="97">
        <f>L167*(1+parameters!$B$14)</f>
        <v>14.400462789074027</v>
      </c>
      <c r="M168" s="97">
        <f>M167*(1+parameters!$B$14)</f>
        <v>54.301745100466647</v>
      </c>
      <c r="N168" s="97">
        <f>N167*(1+parameters!$B$14)</f>
        <v>119.4038372927388</v>
      </c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  <c r="AH168" s="97"/>
      <c r="AI168" s="97"/>
      <c r="AJ168" s="97"/>
      <c r="AK168" s="97"/>
      <c r="AL168" s="97"/>
      <c r="AM168" s="97"/>
      <c r="AN168" s="97"/>
      <c r="AO168" s="97"/>
      <c r="AP168" s="97"/>
      <c r="AQ168" s="97"/>
      <c r="AR168" s="97"/>
    </row>
    <row r="169" spans="2:44">
      <c r="B169" s="99">
        <f t="shared" si="49"/>
        <v>33</v>
      </c>
      <c r="C169" s="97">
        <f>C168*(1+parameters!$B$14)</f>
        <v>714.73996966795994</v>
      </c>
      <c r="D169" s="97">
        <f>D168*(1+parameters!$B$14)</f>
        <v>47.278519394378684</v>
      </c>
      <c r="E169" s="97">
        <f>E168*(1+parameters!$B$14)</f>
        <v>25.029804385259293</v>
      </c>
      <c r="F169" s="97">
        <f>F168*(1+parameters!$B$14)</f>
        <v>97.956148026261673</v>
      </c>
      <c r="G169" s="97">
        <f>G168*(1+parameters!$B$14)</f>
        <v>107.53545587741031</v>
      </c>
      <c r="H169" s="97">
        <f>H168*(1+parameters!$B$14)</f>
        <v>64.27406558190043</v>
      </c>
      <c r="I169" s="97">
        <f>I168*(1+parameters!$B$14)</f>
        <v>227.12229905142698</v>
      </c>
      <c r="J169" s="97">
        <f>J168*(1+parameters!$B$14)</f>
        <v>29.046933484128065</v>
      </c>
      <c r="K169" s="97">
        <f>K168*(1+parameters!$B$14)</f>
        <v>122.98595241152097</v>
      </c>
      <c r="L169" s="97">
        <f>L168*(1+parameters!$B$14)</f>
        <v>14.832476672746248</v>
      </c>
      <c r="M169" s="97">
        <f>M168*(1+parameters!$B$14)</f>
        <v>55.93079745348065</v>
      </c>
      <c r="N169" s="97">
        <f>N168*(1+parameters!$B$14)</f>
        <v>122.98595241152097</v>
      </c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  <c r="AH169" s="97"/>
      <c r="AI169" s="97"/>
      <c r="AJ169" s="97"/>
      <c r="AK169" s="97"/>
      <c r="AL169" s="97"/>
      <c r="AM169" s="97"/>
      <c r="AN169" s="97"/>
      <c r="AO169" s="97"/>
      <c r="AP169" s="97"/>
      <c r="AQ169" s="97"/>
      <c r="AR169" s="97"/>
    </row>
    <row r="170" spans="2:44">
      <c r="B170" s="99">
        <f t="shared" si="49"/>
        <v>34</v>
      </c>
      <c r="C170" s="97">
        <f>C169*(1+parameters!$B$14)</f>
        <v>736.18216875799874</v>
      </c>
      <c r="D170" s="97">
        <f>D169*(1+parameters!$B$14)</f>
        <v>48.696874976210047</v>
      </c>
      <c r="E170" s="97">
        <f>E169*(1+parameters!$B$14)</f>
        <v>25.780698516817072</v>
      </c>
      <c r="F170" s="97">
        <f>F169*(1+parameters!$B$14)</f>
        <v>100.89483246704953</v>
      </c>
      <c r="G170" s="97">
        <f>G169*(1+parameters!$B$14)</f>
        <v>110.76151955373263</v>
      </c>
      <c r="H170" s="97">
        <f>H169*(1+parameters!$B$14)</f>
        <v>66.20228754935745</v>
      </c>
      <c r="I170" s="97">
        <f>I169*(1+parameters!$B$14)</f>
        <v>233.9359680229698</v>
      </c>
      <c r="J170" s="97">
        <f>J169*(1+parameters!$B$14)</f>
        <v>29.918341488651908</v>
      </c>
      <c r="K170" s="97">
        <f>K169*(1+parameters!$B$14)</f>
        <v>126.67553098386661</v>
      </c>
      <c r="L170" s="97">
        <f>L169*(1+parameters!$B$14)</f>
        <v>15.277450972928635</v>
      </c>
      <c r="M170" s="97">
        <f>M169*(1+parameters!$B$14)</f>
        <v>57.608721377085068</v>
      </c>
      <c r="N170" s="97">
        <f>N169*(1+parameters!$B$14)</f>
        <v>126.67553098386661</v>
      </c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  <c r="AH170" s="97"/>
      <c r="AI170" s="97"/>
      <c r="AJ170" s="97"/>
      <c r="AK170" s="97"/>
      <c r="AL170" s="97"/>
      <c r="AM170" s="97"/>
      <c r="AN170" s="97"/>
      <c r="AO170" s="97"/>
      <c r="AP170" s="97"/>
      <c r="AQ170" s="97"/>
      <c r="AR170" s="97"/>
    </row>
    <row r="171" spans="2:44">
      <c r="B171" s="99">
        <f t="shared" si="49"/>
        <v>35</v>
      </c>
      <c r="C171" s="97">
        <f>C170*(1+parameters!$B$14)</f>
        <v>758.26763382073875</v>
      </c>
      <c r="D171" s="97">
        <f>D170*(1+parameters!$B$14)</f>
        <v>50.15778122549635</v>
      </c>
      <c r="E171" s="97">
        <f>E170*(1+parameters!$B$14)</f>
        <v>26.554119472321585</v>
      </c>
      <c r="F171" s="97">
        <f>F170*(1+parameters!$B$14)</f>
        <v>103.92167744106101</v>
      </c>
      <c r="G171" s="97">
        <f>G170*(1+parameters!$B$14)</f>
        <v>114.0843651403446</v>
      </c>
      <c r="H171" s="97">
        <f>H170*(1+parameters!$B$14)</f>
        <v>68.18835617583818</v>
      </c>
      <c r="I171" s="97">
        <f>I170*(1+parameters!$B$14)</f>
        <v>240.95404706365889</v>
      </c>
      <c r="J171" s="97">
        <f>J170*(1+parameters!$B$14)</f>
        <v>30.815891733311467</v>
      </c>
      <c r="K171" s="97">
        <f>K170*(1+parameters!$B$14)</f>
        <v>130.47579691338262</v>
      </c>
      <c r="L171" s="97">
        <f>L170*(1+parameters!$B$14)</f>
        <v>15.735774502116495</v>
      </c>
      <c r="M171" s="97">
        <f>M170*(1+parameters!$B$14)</f>
        <v>59.336983018397625</v>
      </c>
      <c r="N171" s="97">
        <f>N170*(1+parameters!$B$14)</f>
        <v>130.47579691338262</v>
      </c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  <c r="AH171" s="97"/>
      <c r="AI171" s="97"/>
      <c r="AJ171" s="97"/>
      <c r="AK171" s="97"/>
      <c r="AL171" s="97"/>
      <c r="AM171" s="97"/>
      <c r="AN171" s="97"/>
      <c r="AO171" s="97"/>
      <c r="AP171" s="97"/>
      <c r="AQ171" s="97"/>
      <c r="AR171" s="97"/>
    </row>
    <row r="172" spans="2:44">
      <c r="B172" s="99">
        <f t="shared" si="49"/>
        <v>36</v>
      </c>
      <c r="C172" s="97">
        <f>C171*(1+parameters!$B$14)</f>
        <v>781.0156628353609</v>
      </c>
      <c r="D172" s="97">
        <f>D171*(1+parameters!$B$14)</f>
        <v>51.662514662261245</v>
      </c>
      <c r="E172" s="97">
        <f>E171*(1+parameters!$B$14)</f>
        <v>27.350743056491233</v>
      </c>
      <c r="F172" s="97">
        <f>F171*(1+parameters!$B$14)</f>
        <v>107.03932776429284</v>
      </c>
      <c r="G172" s="97">
        <f>G171*(1+parameters!$B$14)</f>
        <v>117.50689609455495</v>
      </c>
      <c r="H172" s="97">
        <f>H171*(1+parameters!$B$14)</f>
        <v>70.234006861113329</v>
      </c>
      <c r="I172" s="97">
        <f>I171*(1+parameters!$B$14)</f>
        <v>248.18266847556868</v>
      </c>
      <c r="J172" s="97">
        <f>J171*(1+parameters!$B$14)</f>
        <v>31.74036848531081</v>
      </c>
      <c r="K172" s="97">
        <f>K171*(1+parameters!$B$14)</f>
        <v>134.3900708207841</v>
      </c>
      <c r="L172" s="97">
        <f>L171*(1+parameters!$B$14)</f>
        <v>16.207847737179989</v>
      </c>
      <c r="M172" s="97">
        <f>M171*(1+parameters!$B$14)</f>
        <v>61.117092508949554</v>
      </c>
      <c r="N172" s="97">
        <f>N171*(1+parameters!$B$14)</f>
        <v>134.3900708207841</v>
      </c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  <c r="AH172" s="97"/>
      <c r="AI172" s="97"/>
      <c r="AJ172" s="97"/>
      <c r="AK172" s="97"/>
      <c r="AL172" s="97"/>
      <c r="AM172" s="97"/>
      <c r="AN172" s="97"/>
      <c r="AO172" s="97"/>
      <c r="AP172" s="97"/>
      <c r="AQ172" s="97"/>
      <c r="AR172" s="97"/>
    </row>
    <row r="173" spans="2:44">
      <c r="B173" s="99">
        <f t="shared" si="49"/>
        <v>37</v>
      </c>
      <c r="C173" s="97">
        <f>C172*(1+parameters!$B$14)</f>
        <v>804.4461327204217</v>
      </c>
      <c r="D173" s="97">
        <f>D172*(1+parameters!$B$14)</f>
        <v>53.212390102129085</v>
      </c>
      <c r="E173" s="97">
        <f>E172*(1+parameters!$B$14)</f>
        <v>28.171265348185969</v>
      </c>
      <c r="F173" s="97">
        <f>F172*(1+parameters!$B$14)</f>
        <v>110.25050759722163</v>
      </c>
      <c r="G173" s="97">
        <f>G172*(1+parameters!$B$14)</f>
        <v>121.0321029773916</v>
      </c>
      <c r="H173" s="97">
        <f>H172*(1+parameters!$B$14)</f>
        <v>72.341027066946737</v>
      </c>
      <c r="I173" s="97">
        <f>I172*(1+parameters!$B$14)</f>
        <v>255.62814852983576</v>
      </c>
      <c r="J173" s="97">
        <f>J172*(1+parameters!$B$14)</f>
        <v>32.692579539870138</v>
      </c>
      <c r="K173" s="97">
        <f>K172*(1+parameters!$B$14)</f>
        <v>138.42177294540764</v>
      </c>
      <c r="L173" s="97">
        <f>L172*(1+parameters!$B$14)</f>
        <v>16.694083169295389</v>
      </c>
      <c r="M173" s="97">
        <f>M172*(1+parameters!$B$14)</f>
        <v>62.950605284218042</v>
      </c>
      <c r="N173" s="97">
        <f>N172*(1+parameters!$B$14)</f>
        <v>138.42177294540764</v>
      </c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  <c r="AH173" s="97"/>
      <c r="AI173" s="97"/>
      <c r="AJ173" s="97"/>
      <c r="AK173" s="97"/>
      <c r="AL173" s="97"/>
      <c r="AM173" s="97"/>
      <c r="AN173" s="97"/>
      <c r="AO173" s="97"/>
      <c r="AP173" s="97"/>
      <c r="AQ173" s="97"/>
      <c r="AR173" s="97"/>
    </row>
    <row r="174" spans="2:44">
      <c r="B174" s="99">
        <f t="shared" si="49"/>
        <v>38</v>
      </c>
      <c r="C174" s="97">
        <f>C173*(1+parameters!$B$14)</f>
        <v>828.57951670203443</v>
      </c>
      <c r="D174" s="97">
        <f>D173*(1+parameters!$B$14)</f>
        <v>54.808761805192958</v>
      </c>
      <c r="E174" s="97">
        <f>E173*(1+parameters!$B$14)</f>
        <v>29.016403308631549</v>
      </c>
      <c r="F174" s="97">
        <f>F173*(1+parameters!$B$14)</f>
        <v>113.55802282513828</v>
      </c>
      <c r="G174" s="97">
        <f>G173*(1+parameters!$B$14)</f>
        <v>124.66306606671336</v>
      </c>
      <c r="H174" s="97">
        <f>H173*(1+parameters!$B$14)</f>
        <v>74.511257878955135</v>
      </c>
      <c r="I174" s="97">
        <f>I173*(1+parameters!$B$14)</f>
        <v>263.29699298573081</v>
      </c>
      <c r="J174" s="97">
        <f>J173*(1+parameters!$B$14)</f>
        <v>33.673356926066241</v>
      </c>
      <c r="K174" s="97">
        <f>K173*(1+parameters!$B$14)</f>
        <v>142.57442613376986</v>
      </c>
      <c r="L174" s="97">
        <f>L173*(1+parameters!$B$14)</f>
        <v>17.19490566437425</v>
      </c>
      <c r="M174" s="97">
        <f>M173*(1+parameters!$B$14)</f>
        <v>64.83912344274458</v>
      </c>
      <c r="N174" s="97">
        <f>N173*(1+parameters!$B$14)</f>
        <v>142.57442613376986</v>
      </c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  <c r="AH174" s="97"/>
      <c r="AI174" s="97"/>
      <c r="AJ174" s="97"/>
      <c r="AK174" s="97"/>
      <c r="AL174" s="97"/>
      <c r="AM174" s="97"/>
      <c r="AN174" s="97"/>
      <c r="AO174" s="97"/>
      <c r="AP174" s="97"/>
      <c r="AQ174" s="97"/>
      <c r="AR174" s="97"/>
    </row>
    <row r="175" spans="2:44">
      <c r="B175" s="99">
        <f t="shared" si="49"/>
        <v>39</v>
      </c>
      <c r="C175" s="97">
        <f>C174*(1+parameters!$B$14)</f>
        <v>853.43690220309543</v>
      </c>
      <c r="D175" s="97">
        <f>D174*(1+parameters!$B$14)</f>
        <v>56.453024659348749</v>
      </c>
      <c r="E175" s="97">
        <f>E174*(1+parameters!$B$14)</f>
        <v>29.886895407890496</v>
      </c>
      <c r="F175" s="97">
        <f>F174*(1+parameters!$B$14)</f>
        <v>116.96476350989244</v>
      </c>
      <c r="G175" s="97">
        <f>G174*(1+parameters!$B$14)</f>
        <v>128.40295804871477</v>
      </c>
      <c r="H175" s="97">
        <f>H174*(1+parameters!$B$14)</f>
        <v>76.746595615323784</v>
      </c>
      <c r="I175" s="97">
        <f>I174*(1+parameters!$B$14)</f>
        <v>271.19590277530273</v>
      </c>
      <c r="J175" s="97">
        <f>J174*(1+parameters!$B$14)</f>
        <v>34.683557633848231</v>
      </c>
      <c r="K175" s="97">
        <f>K174*(1+parameters!$B$14)</f>
        <v>146.85165891778297</v>
      </c>
      <c r="L175" s="97">
        <f>L174*(1+parameters!$B$14)</f>
        <v>17.710752834305477</v>
      </c>
      <c r="M175" s="97">
        <f>M174*(1+parameters!$B$14)</f>
        <v>66.784297146026915</v>
      </c>
      <c r="N175" s="97">
        <f>N174*(1+parameters!$B$14)</f>
        <v>146.85165891778297</v>
      </c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  <c r="AH175" s="97"/>
      <c r="AI175" s="97"/>
      <c r="AJ175" s="97"/>
      <c r="AK175" s="97"/>
      <c r="AL175" s="97"/>
      <c r="AM175" s="97"/>
      <c r="AN175" s="97"/>
      <c r="AO175" s="97"/>
      <c r="AP175" s="97"/>
      <c r="AQ175" s="97"/>
      <c r="AR175" s="97"/>
    </row>
    <row r="176" spans="2:44">
      <c r="B176" s="99">
        <f t="shared" si="49"/>
        <v>40</v>
      </c>
      <c r="C176" s="97">
        <f>C175*(1+parameters!$B$14)</f>
        <v>879.04000926918832</v>
      </c>
      <c r="D176" s="97">
        <f>D175*(1+parameters!$B$14)</f>
        <v>58.14661539912921</v>
      </c>
      <c r="E176" s="97">
        <f>E175*(1+parameters!$B$14)</f>
        <v>30.783502270127212</v>
      </c>
      <c r="F176" s="97">
        <f>F175*(1+parameters!$B$14)</f>
        <v>120.47370641518921</v>
      </c>
      <c r="G176" s="97">
        <f>G175*(1+parameters!$B$14)</f>
        <v>132.25504679017621</v>
      </c>
      <c r="H176" s="97">
        <f>H175*(1+parameters!$B$14)</f>
        <v>79.048993483783505</v>
      </c>
      <c r="I176" s="97">
        <f>I175*(1+parameters!$B$14)</f>
        <v>279.33177985856179</v>
      </c>
      <c r="J176" s="97">
        <f>J175*(1+parameters!$B$14)</f>
        <v>35.724064362863679</v>
      </c>
      <c r="K176" s="97">
        <f>K175*(1+parameters!$B$14)</f>
        <v>151.25720868531647</v>
      </c>
      <c r="L176" s="97">
        <f>L175*(1+parameters!$B$14)</f>
        <v>18.242075419334643</v>
      </c>
      <c r="M176" s="97">
        <f>M175*(1+parameters!$B$14)</f>
        <v>68.787826060407724</v>
      </c>
      <c r="N176" s="97">
        <f>N175*(1+parameters!$B$14)</f>
        <v>151.25720868531647</v>
      </c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  <c r="AH176" s="97"/>
      <c r="AI176" s="97"/>
      <c r="AJ176" s="97"/>
      <c r="AK176" s="97"/>
      <c r="AL176" s="97"/>
      <c r="AM176" s="97"/>
      <c r="AN176" s="97"/>
      <c r="AO176" s="97"/>
      <c r="AP176" s="97"/>
      <c r="AQ176" s="97"/>
      <c r="AR176" s="97"/>
    </row>
    <row r="179" spans="1:44">
      <c r="A179" s="86" t="s">
        <v>158</v>
      </c>
      <c r="B179" s="99">
        <f>B137</f>
        <v>1</v>
      </c>
      <c r="C179" s="102">
        <f>C86+C137</f>
        <v>33.180000000000007</v>
      </c>
      <c r="D179" s="102">
        <f t="shared" ref="D179:N179" si="50">D86+D137</f>
        <v>-562.06999999999994</v>
      </c>
      <c r="E179" s="102">
        <f t="shared" si="50"/>
        <v>-176.89000000000001</v>
      </c>
      <c r="F179" s="102">
        <f t="shared" si="50"/>
        <v>-202.97</v>
      </c>
      <c r="G179" s="102">
        <f t="shared" si="50"/>
        <v>-239.35000000000002</v>
      </c>
      <c r="H179" s="102">
        <f t="shared" si="50"/>
        <v>-111.44</v>
      </c>
      <c r="I179" s="102">
        <f t="shared" si="50"/>
        <v>-449.14000000000004</v>
      </c>
      <c r="J179" s="102">
        <f t="shared" si="50"/>
        <v>-162.97</v>
      </c>
      <c r="K179" s="102">
        <f t="shared" si="50"/>
        <v>-104.19</v>
      </c>
      <c r="L179" s="102">
        <f t="shared" si="50"/>
        <v>-191.88</v>
      </c>
      <c r="M179" s="102">
        <f t="shared" si="50"/>
        <v>-192.98</v>
      </c>
      <c r="N179" s="102">
        <f t="shared" si="50"/>
        <v>-196.92000000000002</v>
      </c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2"/>
      <c r="AL179" s="102"/>
      <c r="AM179" s="102"/>
      <c r="AN179" s="102"/>
      <c r="AO179" s="102"/>
      <c r="AP179" s="102"/>
      <c r="AQ179" s="102"/>
      <c r="AR179" s="102"/>
    </row>
    <row r="180" spans="1:44">
      <c r="B180" s="99">
        <f t="shared" ref="B180:B218" si="51">B138</f>
        <v>2</v>
      </c>
      <c r="C180" s="102">
        <f t="shared" ref="C180:N180" si="52">C87+C138</f>
        <v>343.17539999999997</v>
      </c>
      <c r="D180" s="102">
        <f t="shared" si="52"/>
        <v>39.067899999999995</v>
      </c>
      <c r="E180" s="102">
        <f t="shared" si="52"/>
        <v>23.8033</v>
      </c>
      <c r="F180" s="102">
        <f t="shared" si="52"/>
        <v>74.190899999999999</v>
      </c>
      <c r="G180" s="102">
        <f t="shared" si="52"/>
        <v>109.84949999999999</v>
      </c>
      <c r="H180" s="102">
        <f t="shared" si="52"/>
        <v>46.9268</v>
      </c>
      <c r="I180" s="102">
        <f t="shared" si="52"/>
        <v>114.1858</v>
      </c>
      <c r="J180" s="102">
        <f t="shared" si="52"/>
        <v>38.140899999999995</v>
      </c>
      <c r="K180" s="102">
        <f t="shared" si="52"/>
        <v>86.324299999999994</v>
      </c>
      <c r="L180" s="102">
        <f t="shared" si="52"/>
        <v>18.663599999999999</v>
      </c>
      <c r="M180" s="102">
        <f t="shared" si="52"/>
        <v>32.980600000000003</v>
      </c>
      <c r="N180" s="102">
        <f t="shared" si="52"/>
        <v>95.872399999999999</v>
      </c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  <c r="AM180" s="102"/>
      <c r="AN180" s="102"/>
      <c r="AO180" s="102"/>
      <c r="AP180" s="102"/>
      <c r="AQ180" s="102"/>
      <c r="AR180" s="102"/>
    </row>
    <row r="181" spans="1:44">
      <c r="B181" s="99">
        <f t="shared" si="51"/>
        <v>3</v>
      </c>
      <c r="C181" s="102">
        <f t="shared" ref="C181:N181" si="53">C88+C139</f>
        <v>353.470662</v>
      </c>
      <c r="D181" s="102">
        <f t="shared" si="53"/>
        <v>40.239936999999998</v>
      </c>
      <c r="E181" s="102">
        <f t="shared" si="53"/>
        <v>24.517398999999997</v>
      </c>
      <c r="F181" s="102">
        <f t="shared" si="53"/>
        <v>76.416626999999991</v>
      </c>
      <c r="G181" s="102">
        <f t="shared" si="53"/>
        <v>113.14498500000001</v>
      </c>
      <c r="H181" s="102">
        <f t="shared" si="53"/>
        <v>48.334603999999999</v>
      </c>
      <c r="I181" s="102">
        <f t="shared" si="53"/>
        <v>117.61137400000001</v>
      </c>
      <c r="J181" s="102">
        <f t="shared" si="53"/>
        <v>39.285127000000003</v>
      </c>
      <c r="K181" s="102">
        <f t="shared" si="53"/>
        <v>88.914028999999999</v>
      </c>
      <c r="L181" s="102">
        <f t="shared" si="53"/>
        <v>19.223508000000002</v>
      </c>
      <c r="M181" s="102">
        <f t="shared" si="53"/>
        <v>33.970018000000003</v>
      </c>
      <c r="N181" s="102">
        <f t="shared" si="53"/>
        <v>98.748571999999996</v>
      </c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</row>
    <row r="182" spans="1:44">
      <c r="B182" s="99">
        <f t="shared" si="51"/>
        <v>4</v>
      </c>
      <c r="C182" s="102">
        <f t="shared" ref="C182:N182" si="54">C89+C140</f>
        <v>364.07478186000003</v>
      </c>
      <c r="D182" s="102">
        <f t="shared" si="54"/>
        <v>41.447135109999991</v>
      </c>
      <c r="E182" s="102">
        <f t="shared" si="54"/>
        <v>25.252920969999998</v>
      </c>
      <c r="F182" s="102">
        <f t="shared" si="54"/>
        <v>78.709125809999989</v>
      </c>
      <c r="G182" s="102">
        <f t="shared" si="54"/>
        <v>116.53933455000001</v>
      </c>
      <c r="H182" s="102">
        <f t="shared" si="54"/>
        <v>49.784642120000001</v>
      </c>
      <c r="I182" s="102">
        <f t="shared" si="54"/>
        <v>121.13971522000001</v>
      </c>
      <c r="J182" s="102">
        <f t="shared" si="54"/>
        <v>40.46368081</v>
      </c>
      <c r="K182" s="102">
        <f t="shared" si="54"/>
        <v>91.58144987</v>
      </c>
      <c r="L182" s="102">
        <f t="shared" si="54"/>
        <v>19.800213239999998</v>
      </c>
      <c r="M182" s="102">
        <f t="shared" si="54"/>
        <v>34.989118540000007</v>
      </c>
      <c r="N182" s="102">
        <f t="shared" si="54"/>
        <v>101.71102916000001</v>
      </c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</row>
    <row r="183" spans="1:44">
      <c r="B183" s="99">
        <f t="shared" si="51"/>
        <v>5</v>
      </c>
      <c r="C183" s="102">
        <f t="shared" ref="C183:N183" si="55">C90+C141</f>
        <v>374.99702531580004</v>
      </c>
      <c r="D183" s="102">
        <f t="shared" si="55"/>
        <v>42.690549163299991</v>
      </c>
      <c r="E183" s="102">
        <f t="shared" si="55"/>
        <v>26.0105085991</v>
      </c>
      <c r="F183" s="102">
        <f t="shared" si="55"/>
        <v>81.070399584299992</v>
      </c>
      <c r="G183" s="102">
        <f t="shared" si="55"/>
        <v>120.0355145865</v>
      </c>
      <c r="H183" s="102">
        <f t="shared" si="55"/>
        <v>51.2781813836</v>
      </c>
      <c r="I183" s="102">
        <f t="shared" si="55"/>
        <v>124.77390667660001</v>
      </c>
      <c r="J183" s="102">
        <f t="shared" si="55"/>
        <v>41.677591234299996</v>
      </c>
      <c r="K183" s="102">
        <f t="shared" si="55"/>
        <v>94.328893366100004</v>
      </c>
      <c r="L183" s="102">
        <f t="shared" si="55"/>
        <v>20.394219637199999</v>
      </c>
      <c r="M183" s="102">
        <f t="shared" si="55"/>
        <v>36.038792096200005</v>
      </c>
      <c r="N183" s="102">
        <f t="shared" si="55"/>
        <v>104.7623600348</v>
      </c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</row>
    <row r="184" spans="1:44">
      <c r="B184" s="99">
        <f t="shared" si="51"/>
        <v>6</v>
      </c>
      <c r="C184" s="102">
        <f t="shared" ref="C184:N184" si="56">C91+C142</f>
        <v>386.24693607527405</v>
      </c>
      <c r="D184" s="102">
        <f t="shared" si="56"/>
        <v>43.971265638199</v>
      </c>
      <c r="E184" s="102">
        <f t="shared" si="56"/>
        <v>26.790823857073001</v>
      </c>
      <c r="F184" s="102">
        <f t="shared" si="56"/>
        <v>83.50251157182899</v>
      </c>
      <c r="G184" s="102">
        <f t="shared" si="56"/>
        <v>123.636580024095</v>
      </c>
      <c r="H184" s="102">
        <f t="shared" si="56"/>
        <v>52.816526825108006</v>
      </c>
      <c r="I184" s="102">
        <f t="shared" si="56"/>
        <v>128.51712387689801</v>
      </c>
      <c r="J184" s="102">
        <f t="shared" si="56"/>
        <v>42.927918971328992</v>
      </c>
      <c r="K184" s="102">
        <f t="shared" si="56"/>
        <v>97.158760167083003</v>
      </c>
      <c r="L184" s="102">
        <f t="shared" si="56"/>
        <v>21.006046226316002</v>
      </c>
      <c r="M184" s="102">
        <f t="shared" si="56"/>
        <v>37.119955859086005</v>
      </c>
      <c r="N184" s="102">
        <f t="shared" si="56"/>
        <v>107.90523083584401</v>
      </c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</row>
    <row r="185" spans="1:44">
      <c r="B185" s="99">
        <f t="shared" si="51"/>
        <v>7</v>
      </c>
      <c r="C185" s="102">
        <f t="shared" ref="C185:N185" si="57">C92+C143</f>
        <v>397.83434415753231</v>
      </c>
      <c r="D185" s="102">
        <f t="shared" si="57"/>
        <v>45.29040360734497</v>
      </c>
      <c r="E185" s="102">
        <f t="shared" si="57"/>
        <v>27.594548572785193</v>
      </c>
      <c r="F185" s="102">
        <f t="shared" si="57"/>
        <v>86.007586918983861</v>
      </c>
      <c r="G185" s="102">
        <f t="shared" si="57"/>
        <v>127.34567742481786</v>
      </c>
      <c r="H185" s="102">
        <f t="shared" si="57"/>
        <v>54.401022629861245</v>
      </c>
      <c r="I185" s="102">
        <f t="shared" si="57"/>
        <v>132.37263759320496</v>
      </c>
      <c r="J185" s="102">
        <f t="shared" si="57"/>
        <v>44.215756540468867</v>
      </c>
      <c r="K185" s="102">
        <f t="shared" si="57"/>
        <v>100.0735229720955</v>
      </c>
      <c r="L185" s="102">
        <f t="shared" si="57"/>
        <v>21.636227613105483</v>
      </c>
      <c r="M185" s="102">
        <f t="shared" si="57"/>
        <v>38.233554534858584</v>
      </c>
      <c r="N185" s="102">
        <f t="shared" si="57"/>
        <v>111.14238776091932</v>
      </c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</row>
    <row r="186" spans="1:44">
      <c r="B186" s="99">
        <f t="shared" si="51"/>
        <v>8</v>
      </c>
      <c r="C186" s="102">
        <f t="shared" ref="C186:N186" si="58">C93+C144</f>
        <v>409.76937448225829</v>
      </c>
      <c r="D186" s="102">
        <f t="shared" si="58"/>
        <v>46.649115715565316</v>
      </c>
      <c r="E186" s="102">
        <f t="shared" si="58"/>
        <v>28.422385029968744</v>
      </c>
      <c r="F186" s="102">
        <f t="shared" si="58"/>
        <v>88.587814526553387</v>
      </c>
      <c r="G186" s="102">
        <f t="shared" si="58"/>
        <v>131.16604774756237</v>
      </c>
      <c r="H186" s="102">
        <f t="shared" si="58"/>
        <v>56.033053308757083</v>
      </c>
      <c r="I186" s="102">
        <f t="shared" si="58"/>
        <v>136.3438167210011</v>
      </c>
      <c r="J186" s="102">
        <f t="shared" si="58"/>
        <v>45.542229236682928</v>
      </c>
      <c r="K186" s="102">
        <f t="shared" si="58"/>
        <v>103.07572866125835</v>
      </c>
      <c r="L186" s="102">
        <f t="shared" si="58"/>
        <v>22.285314441498642</v>
      </c>
      <c r="M186" s="102">
        <f t="shared" si="58"/>
        <v>39.380561170904343</v>
      </c>
      <c r="N186" s="102">
        <f t="shared" si="58"/>
        <v>114.4766593937469</v>
      </c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  <c r="AM186" s="102"/>
      <c r="AN186" s="102"/>
      <c r="AO186" s="102"/>
      <c r="AP186" s="102"/>
      <c r="AQ186" s="102"/>
      <c r="AR186" s="102"/>
    </row>
    <row r="187" spans="1:44">
      <c r="B187" s="99">
        <f t="shared" si="51"/>
        <v>9</v>
      </c>
      <c r="C187" s="102">
        <f t="shared" ref="C187:N187" si="59">C94+C145</f>
        <v>422.06245571672605</v>
      </c>
      <c r="D187" s="102">
        <f t="shared" si="59"/>
        <v>48.048589187032277</v>
      </c>
      <c r="E187" s="102">
        <f t="shared" si="59"/>
        <v>29.275056580867808</v>
      </c>
      <c r="F187" s="102">
        <f t="shared" si="59"/>
        <v>91.245448962349982</v>
      </c>
      <c r="G187" s="102">
        <f t="shared" si="59"/>
        <v>135.10102917998927</v>
      </c>
      <c r="H187" s="102">
        <f t="shared" si="59"/>
        <v>57.714044908019801</v>
      </c>
      <c r="I187" s="102">
        <f t="shared" si="59"/>
        <v>140.43413122263115</v>
      </c>
      <c r="J187" s="102">
        <f t="shared" si="59"/>
        <v>46.908496113783414</v>
      </c>
      <c r="K187" s="102">
        <f t="shared" si="59"/>
        <v>106.16800052109612</v>
      </c>
      <c r="L187" s="102">
        <f t="shared" si="59"/>
        <v>22.953873874743604</v>
      </c>
      <c r="M187" s="102">
        <f t="shared" si="59"/>
        <v>40.561978006031474</v>
      </c>
      <c r="N187" s="102">
        <f t="shared" si="59"/>
        <v>117.91095917555931</v>
      </c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102"/>
      <c r="AJ187" s="102"/>
      <c r="AK187" s="102"/>
      <c r="AL187" s="102"/>
      <c r="AM187" s="102"/>
      <c r="AN187" s="102"/>
      <c r="AO187" s="102"/>
      <c r="AP187" s="102"/>
      <c r="AQ187" s="102"/>
      <c r="AR187" s="102"/>
    </row>
    <row r="188" spans="1:44">
      <c r="B188" s="99">
        <f t="shared" si="51"/>
        <v>10</v>
      </c>
      <c r="C188" s="102">
        <f t="shared" ref="C188:N188" si="60">C95+C146</f>
        <v>542.23763973575751</v>
      </c>
      <c r="D188" s="102">
        <f t="shared" si="60"/>
        <v>519.86077963308583</v>
      </c>
      <c r="E188" s="102">
        <f t="shared" si="60"/>
        <v>164.54494621270604</v>
      </c>
      <c r="F188" s="102">
        <f t="shared" si="60"/>
        <v>228.37445036563267</v>
      </c>
      <c r="G188" s="102">
        <f t="shared" si="60"/>
        <v>273.54569798980111</v>
      </c>
      <c r="H188" s="102">
        <f t="shared" si="60"/>
        <v>140.0804490159077</v>
      </c>
      <c r="I188" s="102">
        <f t="shared" si="60"/>
        <v>211.8429741265162</v>
      </c>
      <c r="J188" s="102">
        <f t="shared" si="60"/>
        <v>115.51156996440302</v>
      </c>
      <c r="K188" s="102">
        <f t="shared" si="60"/>
        <v>189.98802329737629</v>
      </c>
      <c r="L188" s="102">
        <f t="shared" si="60"/>
        <v>104.27747285163321</v>
      </c>
      <c r="M188" s="102">
        <f t="shared" si="60"/>
        <v>108.97465631341852</v>
      </c>
      <c r="N188" s="102">
        <f t="shared" si="60"/>
        <v>323.03574485244434</v>
      </c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2"/>
      <c r="AI188" s="102"/>
      <c r="AJ188" s="102"/>
      <c r="AK188" s="102"/>
      <c r="AL188" s="102"/>
      <c r="AM188" s="102"/>
      <c r="AN188" s="102"/>
      <c r="AO188" s="102"/>
      <c r="AP188" s="102"/>
      <c r="AQ188" s="102"/>
      <c r="AR188" s="102"/>
    </row>
    <row r="189" spans="1:44">
      <c r="B189" s="99">
        <f t="shared" si="51"/>
        <v>11</v>
      </c>
      <c r="C189" s="102">
        <f t="shared" ref="C189:N189" si="61">C96+C147</f>
        <v>447.76605926987469</v>
      </c>
      <c r="D189" s="102">
        <f t="shared" si="61"/>
        <v>50.974748268522553</v>
      </c>
      <c r="E189" s="102">
        <f t="shared" si="61"/>
        <v>31.057907526642659</v>
      </c>
      <c r="F189" s="102">
        <f t="shared" si="61"/>
        <v>96.802296804157095</v>
      </c>
      <c r="G189" s="102">
        <f t="shared" si="61"/>
        <v>143.32868185705058</v>
      </c>
      <c r="H189" s="102">
        <f t="shared" si="61"/>
        <v>61.228830242918207</v>
      </c>
      <c r="I189" s="102">
        <f t="shared" si="61"/>
        <v>148.98656981408939</v>
      </c>
      <c r="J189" s="102">
        <f t="shared" si="61"/>
        <v>49.76522352711283</v>
      </c>
      <c r="K189" s="102">
        <f t="shared" si="61"/>
        <v>112.63363175283087</v>
      </c>
      <c r="L189" s="102">
        <f t="shared" si="61"/>
        <v>24.351764793715489</v>
      </c>
      <c r="M189" s="102">
        <f t="shared" si="61"/>
        <v>43.03220246659879</v>
      </c>
      <c r="N189" s="102">
        <f t="shared" si="61"/>
        <v>125.09173658935089</v>
      </c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  <c r="AC189" s="102"/>
      <c r="AD189" s="102"/>
      <c r="AE189" s="102"/>
      <c r="AF189" s="102"/>
      <c r="AG189" s="102"/>
      <c r="AH189" s="102"/>
      <c r="AI189" s="102"/>
      <c r="AJ189" s="102"/>
      <c r="AK189" s="102"/>
      <c r="AL189" s="102"/>
      <c r="AM189" s="102"/>
      <c r="AN189" s="102"/>
      <c r="AO189" s="102"/>
      <c r="AP189" s="102"/>
      <c r="AQ189" s="102"/>
      <c r="AR189" s="102"/>
    </row>
    <row r="190" spans="1:44">
      <c r="B190" s="99">
        <f t="shared" si="51"/>
        <v>12</v>
      </c>
      <c r="C190" s="102">
        <f t="shared" ref="C190:N190" si="62">C97+C148</f>
        <v>161.19904104797087</v>
      </c>
      <c r="D190" s="102">
        <f t="shared" si="62"/>
        <v>-547.49600928342181</v>
      </c>
      <c r="E190" s="102">
        <f t="shared" si="62"/>
        <v>31.989644752441937</v>
      </c>
      <c r="F190" s="102">
        <f t="shared" si="62"/>
        <v>99.706365708281794</v>
      </c>
      <c r="G190" s="102">
        <f t="shared" si="62"/>
        <v>147.62854231276211</v>
      </c>
      <c r="H190" s="102">
        <f t="shared" si="62"/>
        <v>63.065695150205748</v>
      </c>
      <c r="I190" s="102">
        <f t="shared" si="62"/>
        <v>153.45616690851207</v>
      </c>
      <c r="J190" s="102">
        <f t="shared" si="62"/>
        <v>51.258180232926215</v>
      </c>
      <c r="K190" s="102">
        <f t="shared" si="62"/>
        <v>116.01264070541581</v>
      </c>
      <c r="L190" s="102">
        <f t="shared" si="62"/>
        <v>25.082317737526949</v>
      </c>
      <c r="M190" s="102">
        <f t="shared" si="62"/>
        <v>44.323168540596754</v>
      </c>
      <c r="N190" s="102">
        <f t="shared" si="62"/>
        <v>128.8444886870314</v>
      </c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102"/>
      <c r="AF190" s="102"/>
      <c r="AG190" s="102"/>
      <c r="AH190" s="102"/>
      <c r="AI190" s="102"/>
      <c r="AJ190" s="102"/>
      <c r="AK190" s="102"/>
      <c r="AL190" s="102"/>
      <c r="AM190" s="102"/>
      <c r="AN190" s="102"/>
      <c r="AO190" s="102"/>
      <c r="AP190" s="102"/>
      <c r="AQ190" s="102"/>
      <c r="AR190" s="102"/>
    </row>
    <row r="191" spans="1:44">
      <c r="B191" s="99">
        <f t="shared" si="51"/>
        <v>13</v>
      </c>
      <c r="C191" s="102">
        <f t="shared" ref="C191:N191" si="63">C98+C149</f>
        <v>475.03501227941001</v>
      </c>
      <c r="D191" s="102">
        <f t="shared" si="63"/>
        <v>54.079110438075574</v>
      </c>
      <c r="E191" s="102">
        <f t="shared" si="63"/>
        <v>32.949334095015196</v>
      </c>
      <c r="F191" s="102">
        <f t="shared" si="63"/>
        <v>102.69755667953027</v>
      </c>
      <c r="G191" s="102">
        <f t="shared" si="63"/>
        <v>152.05739858214497</v>
      </c>
      <c r="H191" s="102">
        <f t="shared" si="63"/>
        <v>64.957666004711911</v>
      </c>
      <c r="I191" s="102">
        <f t="shared" si="63"/>
        <v>158.05985191576744</v>
      </c>
      <c r="J191" s="102">
        <f t="shared" si="63"/>
        <v>52.795925639914003</v>
      </c>
      <c r="K191" s="102">
        <f t="shared" si="63"/>
        <v>119.49301992657827</v>
      </c>
      <c r="L191" s="102">
        <f t="shared" si="63"/>
        <v>25.834787269652761</v>
      </c>
      <c r="M191" s="102">
        <f t="shared" si="63"/>
        <v>45.652863596814655</v>
      </c>
      <c r="N191" s="102">
        <f t="shared" si="63"/>
        <v>132.70982334764233</v>
      </c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D191" s="102"/>
      <c r="AE191" s="102"/>
      <c r="AF191" s="102"/>
      <c r="AG191" s="102"/>
      <c r="AH191" s="102"/>
      <c r="AI191" s="102"/>
      <c r="AJ191" s="102"/>
      <c r="AK191" s="102"/>
      <c r="AL191" s="102"/>
      <c r="AM191" s="102"/>
      <c r="AN191" s="102"/>
      <c r="AO191" s="102"/>
      <c r="AP191" s="102"/>
      <c r="AQ191" s="102"/>
      <c r="AR191" s="102"/>
    </row>
    <row r="192" spans="1:44">
      <c r="B192" s="99">
        <f t="shared" si="51"/>
        <v>14</v>
      </c>
      <c r="C192" s="102">
        <f t="shared" ref="C192:N192" si="64">C99+C150</f>
        <v>489.28606264779239</v>
      </c>
      <c r="D192" s="102">
        <f t="shared" si="64"/>
        <v>55.701483751217843</v>
      </c>
      <c r="E192" s="102">
        <f t="shared" si="64"/>
        <v>-166.06218588213434</v>
      </c>
      <c r="F192" s="102">
        <f t="shared" si="64"/>
        <v>105.77848337991617</v>
      </c>
      <c r="G192" s="102">
        <f t="shared" si="64"/>
        <v>156.61912053960933</v>
      </c>
      <c r="H192" s="102">
        <f t="shared" si="64"/>
        <v>66.906395984853276</v>
      </c>
      <c r="I192" s="102">
        <f t="shared" si="64"/>
        <v>162.80164747324045</v>
      </c>
      <c r="J192" s="102">
        <f t="shared" si="64"/>
        <v>54.379803409111418</v>
      </c>
      <c r="K192" s="102">
        <f t="shared" si="64"/>
        <v>123.07781052437562</v>
      </c>
      <c r="L192" s="102">
        <f t="shared" si="64"/>
        <v>26.609830887742344</v>
      </c>
      <c r="M192" s="102">
        <f t="shared" si="64"/>
        <v>47.022449504719098</v>
      </c>
      <c r="N192" s="102">
        <f t="shared" si="64"/>
        <v>136.69111804807162</v>
      </c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102"/>
      <c r="AL192" s="102"/>
      <c r="AM192" s="102"/>
      <c r="AN192" s="102"/>
      <c r="AO192" s="102"/>
      <c r="AP192" s="102"/>
      <c r="AQ192" s="102"/>
      <c r="AR192" s="102"/>
    </row>
    <row r="193" spans="2:44">
      <c r="B193" s="99">
        <f t="shared" si="51"/>
        <v>15</v>
      </c>
      <c r="C193" s="102">
        <f t="shared" ref="C193:N193" si="65">C100+C151</f>
        <v>503.96464452722614</v>
      </c>
      <c r="D193" s="102">
        <f t="shared" si="65"/>
        <v>57.372528263754376</v>
      </c>
      <c r="E193" s="102">
        <f t="shared" si="65"/>
        <v>34.955948541401625</v>
      </c>
      <c r="F193" s="102">
        <f t="shared" si="65"/>
        <v>108.95183788131366</v>
      </c>
      <c r="G193" s="102">
        <f t="shared" si="65"/>
        <v>161.31769415579762</v>
      </c>
      <c r="H193" s="102">
        <f t="shared" si="65"/>
        <v>68.913587864398878</v>
      </c>
      <c r="I193" s="102">
        <f t="shared" si="65"/>
        <v>167.68569689743768</v>
      </c>
      <c r="J193" s="102">
        <f t="shared" si="65"/>
        <v>56.011197511384765</v>
      </c>
      <c r="K193" s="102">
        <f t="shared" si="65"/>
        <v>126.77014484010689</v>
      </c>
      <c r="L193" s="102">
        <f t="shared" si="65"/>
        <v>27.408125814374618</v>
      </c>
      <c r="M193" s="102">
        <f t="shared" si="65"/>
        <v>48.433122989860671</v>
      </c>
      <c r="N193" s="102">
        <f t="shared" si="65"/>
        <v>140.79185158951378</v>
      </c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102"/>
      <c r="AJ193" s="102"/>
      <c r="AK193" s="102"/>
      <c r="AL193" s="102"/>
      <c r="AM193" s="102"/>
      <c r="AN193" s="102"/>
      <c r="AO193" s="102"/>
      <c r="AP193" s="102"/>
      <c r="AQ193" s="102"/>
      <c r="AR193" s="102"/>
    </row>
    <row r="194" spans="2:44">
      <c r="B194" s="99">
        <f t="shared" si="51"/>
        <v>16</v>
      </c>
      <c r="C194" s="102">
        <f t="shared" ref="C194:N194" si="66">C101+C152</f>
        <v>519.08358386304292</v>
      </c>
      <c r="D194" s="102">
        <f t="shared" si="66"/>
        <v>59.093704111667009</v>
      </c>
      <c r="E194" s="102">
        <f t="shared" si="66"/>
        <v>36.004626997643669</v>
      </c>
      <c r="F194" s="102">
        <f t="shared" si="66"/>
        <v>112.22039301775305</v>
      </c>
      <c r="G194" s="102">
        <f t="shared" si="66"/>
        <v>166.15722498047154</v>
      </c>
      <c r="H194" s="102">
        <f t="shared" si="66"/>
        <v>70.980995500330835</v>
      </c>
      <c r="I194" s="102">
        <f t="shared" si="66"/>
        <v>172.71626780436083</v>
      </c>
      <c r="J194" s="102">
        <f t="shared" si="66"/>
        <v>57.691533436726303</v>
      </c>
      <c r="K194" s="102">
        <f t="shared" si="66"/>
        <v>130.57324918531009</v>
      </c>
      <c r="L194" s="102">
        <f t="shared" si="66"/>
        <v>28.230369588805853</v>
      </c>
      <c r="M194" s="102">
        <f t="shared" si="66"/>
        <v>49.886116679556494</v>
      </c>
      <c r="N194" s="102">
        <f t="shared" si="66"/>
        <v>145.0156071371992</v>
      </c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  <c r="AF194" s="102"/>
      <c r="AG194" s="102"/>
      <c r="AH194" s="102"/>
      <c r="AI194" s="102"/>
      <c r="AJ194" s="102"/>
      <c r="AK194" s="102"/>
      <c r="AL194" s="102"/>
      <c r="AM194" s="102"/>
      <c r="AN194" s="102"/>
      <c r="AO194" s="102"/>
      <c r="AP194" s="102"/>
      <c r="AQ194" s="102"/>
      <c r="AR194" s="102"/>
    </row>
    <row r="195" spans="2:44">
      <c r="B195" s="99">
        <f t="shared" si="51"/>
        <v>17</v>
      </c>
      <c r="C195" s="102">
        <f t="shared" ref="C195:N195" si="67">C102+C153</f>
        <v>534.65609137893421</v>
      </c>
      <c r="D195" s="102">
        <f t="shared" si="67"/>
        <v>60.866515235017019</v>
      </c>
      <c r="E195" s="102">
        <f t="shared" si="67"/>
        <v>37.084765807572978</v>
      </c>
      <c r="F195" s="102">
        <f t="shared" si="67"/>
        <v>-159.41299519171434</v>
      </c>
      <c r="G195" s="102">
        <f t="shared" si="67"/>
        <v>171.14194172988567</v>
      </c>
      <c r="H195" s="102">
        <f t="shared" si="67"/>
        <v>73.110425365340774</v>
      </c>
      <c r="I195" s="102">
        <f t="shared" si="67"/>
        <v>177.89775583849163</v>
      </c>
      <c r="J195" s="102">
        <f t="shared" si="67"/>
        <v>59.422279439828088</v>
      </c>
      <c r="K195" s="102">
        <f t="shared" si="67"/>
        <v>134.4904466608694</v>
      </c>
      <c r="L195" s="102">
        <f t="shared" si="67"/>
        <v>29.077280676470025</v>
      </c>
      <c r="M195" s="102">
        <f t="shared" si="67"/>
        <v>51.382700179943186</v>
      </c>
      <c r="N195" s="102">
        <f t="shared" si="67"/>
        <v>149.36607535131515</v>
      </c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102"/>
      <c r="AJ195" s="102"/>
      <c r="AK195" s="102"/>
      <c r="AL195" s="102"/>
      <c r="AM195" s="102"/>
      <c r="AN195" s="102"/>
      <c r="AO195" s="102"/>
      <c r="AP195" s="102"/>
      <c r="AQ195" s="102"/>
      <c r="AR195" s="102"/>
    </row>
    <row r="196" spans="2:44">
      <c r="B196" s="99">
        <f t="shared" si="51"/>
        <v>18</v>
      </c>
      <c r="C196" s="102">
        <f t="shared" ref="C196:N196" si="68">C103+C154</f>
        <v>550.6957741203023</v>
      </c>
      <c r="D196" s="102">
        <f t="shared" si="68"/>
        <v>62.692510692067529</v>
      </c>
      <c r="E196" s="102">
        <f t="shared" si="68"/>
        <v>38.197308781800167</v>
      </c>
      <c r="F196" s="102">
        <f t="shared" si="68"/>
        <v>119.05461495253422</v>
      </c>
      <c r="G196" s="102">
        <f t="shared" si="68"/>
        <v>-169.72380001821776</v>
      </c>
      <c r="H196" s="102">
        <f t="shared" si="68"/>
        <v>75.303738126300999</v>
      </c>
      <c r="I196" s="102">
        <f t="shared" si="68"/>
        <v>183.2346885136464</v>
      </c>
      <c r="J196" s="102">
        <f t="shared" si="68"/>
        <v>61.204947823022934</v>
      </c>
      <c r="K196" s="102">
        <f t="shared" si="68"/>
        <v>138.5251600606955</v>
      </c>
      <c r="L196" s="102">
        <f t="shared" si="68"/>
        <v>29.949599096764132</v>
      </c>
      <c r="M196" s="102">
        <f t="shared" si="68"/>
        <v>52.924181185341489</v>
      </c>
      <c r="N196" s="102">
        <f t="shared" si="68"/>
        <v>153.84705761185461</v>
      </c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I196" s="102"/>
      <c r="AJ196" s="102"/>
      <c r="AK196" s="102"/>
      <c r="AL196" s="102"/>
      <c r="AM196" s="102"/>
      <c r="AN196" s="102"/>
      <c r="AO196" s="102"/>
      <c r="AP196" s="102"/>
      <c r="AQ196" s="102"/>
      <c r="AR196" s="102"/>
    </row>
    <row r="197" spans="2:44">
      <c r="B197" s="99">
        <f t="shared" si="51"/>
        <v>19</v>
      </c>
      <c r="C197" s="102">
        <f t="shared" ref="C197:N197" si="69">C104+C155</f>
        <v>567.21664734391129</v>
      </c>
      <c r="D197" s="102">
        <f t="shared" si="69"/>
        <v>64.573286012829556</v>
      </c>
      <c r="E197" s="102">
        <f t="shared" si="69"/>
        <v>39.343228045254179</v>
      </c>
      <c r="F197" s="102">
        <f t="shared" si="69"/>
        <v>122.62625340111026</v>
      </c>
      <c r="G197" s="102">
        <f t="shared" si="69"/>
        <v>181.56448598123572</v>
      </c>
      <c r="H197" s="102">
        <f t="shared" si="69"/>
        <v>77.562850270090024</v>
      </c>
      <c r="I197" s="102">
        <f t="shared" si="69"/>
        <v>188.73172916905577</v>
      </c>
      <c r="J197" s="102">
        <f t="shared" si="69"/>
        <v>63.041096257713626</v>
      </c>
      <c r="K197" s="102">
        <f t="shared" si="69"/>
        <v>-45.31908513748364</v>
      </c>
      <c r="L197" s="102">
        <f t="shared" si="69"/>
        <v>30.848087069667052</v>
      </c>
      <c r="M197" s="102">
        <f t="shared" si="69"/>
        <v>54.511906620901726</v>
      </c>
      <c r="N197" s="102">
        <f t="shared" si="69"/>
        <v>158.46246934021025</v>
      </c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102"/>
      <c r="AF197" s="102"/>
      <c r="AG197" s="102"/>
      <c r="AH197" s="102"/>
      <c r="AI197" s="102"/>
      <c r="AJ197" s="102"/>
      <c r="AK197" s="102"/>
      <c r="AL197" s="102"/>
      <c r="AM197" s="102"/>
      <c r="AN197" s="102"/>
      <c r="AO197" s="102"/>
      <c r="AP197" s="102"/>
      <c r="AQ197" s="102"/>
      <c r="AR197" s="102"/>
    </row>
    <row r="198" spans="2:44">
      <c r="B198" s="99">
        <f t="shared" si="51"/>
        <v>20</v>
      </c>
      <c r="C198" s="102">
        <f t="shared" ref="C198:N198" si="70">C105+C156</f>
        <v>584.23314676422865</v>
      </c>
      <c r="D198" s="102">
        <f t="shared" si="70"/>
        <v>66.510484593214443</v>
      </c>
      <c r="E198" s="102">
        <f t="shared" si="70"/>
        <v>40.523524886611796</v>
      </c>
      <c r="F198" s="102">
        <f t="shared" si="70"/>
        <v>126.30504100314357</v>
      </c>
      <c r="G198" s="102">
        <f t="shared" si="70"/>
        <v>187.01142056067278</v>
      </c>
      <c r="H198" s="102">
        <f t="shared" si="70"/>
        <v>79.889735778192716</v>
      </c>
      <c r="I198" s="102">
        <f t="shared" si="70"/>
        <v>194.39368104412748</v>
      </c>
      <c r="J198" s="102">
        <f t="shared" si="70"/>
        <v>64.932329145445038</v>
      </c>
      <c r="K198" s="102">
        <f t="shared" si="70"/>
        <v>146.96134230839186</v>
      </c>
      <c r="L198" s="102">
        <f t="shared" si="70"/>
        <v>31.773529681757061</v>
      </c>
      <c r="M198" s="102">
        <f t="shared" si="70"/>
        <v>56.147263819528781</v>
      </c>
      <c r="N198" s="102">
        <f t="shared" si="70"/>
        <v>163.21634342041659</v>
      </c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102"/>
      <c r="AH198" s="102"/>
      <c r="AI198" s="102"/>
      <c r="AJ198" s="102"/>
      <c r="AK198" s="102"/>
      <c r="AL198" s="102"/>
      <c r="AM198" s="102"/>
      <c r="AN198" s="102"/>
      <c r="AO198" s="102"/>
      <c r="AP198" s="102"/>
      <c r="AQ198" s="102"/>
      <c r="AR198" s="102"/>
    </row>
    <row r="199" spans="2:44">
      <c r="B199" s="99">
        <f t="shared" si="51"/>
        <v>21</v>
      </c>
      <c r="C199" s="102">
        <f t="shared" ref="C199:N199" si="71">C106+C157</f>
        <v>601.76014116715555</v>
      </c>
      <c r="D199" s="102">
        <f t="shared" si="71"/>
        <v>68.505799131010875</v>
      </c>
      <c r="E199" s="102">
        <f t="shared" si="71"/>
        <v>41.739230633210155</v>
      </c>
      <c r="F199" s="102">
        <f t="shared" si="71"/>
        <v>130.09419223323786</v>
      </c>
      <c r="G199" s="102">
        <f t="shared" si="71"/>
        <v>192.62176317749297</v>
      </c>
      <c r="H199" s="102">
        <f t="shared" si="71"/>
        <v>82.286427851538505</v>
      </c>
      <c r="I199" s="102">
        <f t="shared" si="71"/>
        <v>200.22549147545129</v>
      </c>
      <c r="J199" s="102">
        <f t="shared" si="71"/>
        <v>66.880299019808376</v>
      </c>
      <c r="K199" s="102">
        <f t="shared" si="71"/>
        <v>151.37018257764362</v>
      </c>
      <c r="L199" s="102">
        <f t="shared" si="71"/>
        <v>32.726735572209776</v>
      </c>
      <c r="M199" s="102">
        <f t="shared" si="71"/>
        <v>57.831681734114646</v>
      </c>
      <c r="N199" s="102">
        <f t="shared" si="71"/>
        <v>168.11283372302907</v>
      </c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102"/>
      <c r="AG199" s="102"/>
      <c r="AH199" s="102"/>
      <c r="AI199" s="102"/>
      <c r="AJ199" s="102"/>
      <c r="AK199" s="102"/>
      <c r="AL199" s="102"/>
      <c r="AM199" s="102"/>
      <c r="AN199" s="102"/>
      <c r="AO199" s="102"/>
      <c r="AP199" s="102"/>
      <c r="AQ199" s="102"/>
      <c r="AR199" s="102"/>
    </row>
    <row r="200" spans="2:44">
      <c r="B200" s="99">
        <f t="shared" si="51"/>
        <v>22</v>
      </c>
      <c r="C200" s="102">
        <f t="shared" ref="C200:N200" si="72">C107+C158</f>
        <v>619.81294540217027</v>
      </c>
      <c r="D200" s="102">
        <f t="shared" si="72"/>
        <v>70.560973104941212</v>
      </c>
      <c r="E200" s="102">
        <f t="shared" si="72"/>
        <v>42.991407552206461</v>
      </c>
      <c r="F200" s="102">
        <f t="shared" si="72"/>
        <v>133.99701800023502</v>
      </c>
      <c r="G200" s="102">
        <f t="shared" si="72"/>
        <v>198.40041607281776</v>
      </c>
      <c r="H200" s="102">
        <f t="shared" si="72"/>
        <v>84.755020687084667</v>
      </c>
      <c r="I200" s="102">
        <f t="shared" si="72"/>
        <v>206.23225621971486</v>
      </c>
      <c r="J200" s="102">
        <f t="shared" si="72"/>
        <v>68.886707990402641</v>
      </c>
      <c r="K200" s="102">
        <f t="shared" si="72"/>
        <v>155.91128805497294</v>
      </c>
      <c r="L200" s="102">
        <f t="shared" si="72"/>
        <v>33.708537639376068</v>
      </c>
      <c r="M200" s="102">
        <f t="shared" si="72"/>
        <v>59.566632186138087</v>
      </c>
      <c r="N200" s="102">
        <f t="shared" si="72"/>
        <v>173.15621873471994</v>
      </c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2"/>
      <c r="AH200" s="102"/>
      <c r="AI200" s="102"/>
      <c r="AJ200" s="102"/>
      <c r="AK200" s="102"/>
      <c r="AL200" s="102"/>
      <c r="AM200" s="102"/>
      <c r="AN200" s="102"/>
      <c r="AO200" s="102"/>
      <c r="AP200" s="102"/>
      <c r="AQ200" s="102"/>
      <c r="AR200" s="102"/>
    </row>
    <row r="201" spans="2:44">
      <c r="B201" s="99">
        <f t="shared" si="51"/>
        <v>23</v>
      </c>
      <c r="C201" s="102">
        <f t="shared" ref="C201:N201" si="73">C108+C159</f>
        <v>338.40733376423543</v>
      </c>
      <c r="D201" s="102">
        <f t="shared" si="73"/>
        <v>-527.32219770191057</v>
      </c>
      <c r="E201" s="102">
        <f t="shared" si="73"/>
        <v>44.281149778772658</v>
      </c>
      <c r="F201" s="102">
        <f t="shared" si="73"/>
        <v>138.01692854024208</v>
      </c>
      <c r="G201" s="102">
        <f t="shared" si="73"/>
        <v>204.35242855500229</v>
      </c>
      <c r="H201" s="102">
        <f t="shared" si="73"/>
        <v>87.297671307697215</v>
      </c>
      <c r="I201" s="102">
        <f t="shared" si="73"/>
        <v>-347.58077609369371</v>
      </c>
      <c r="J201" s="102">
        <f t="shared" si="73"/>
        <v>70.953309230114712</v>
      </c>
      <c r="K201" s="102">
        <f t="shared" si="73"/>
        <v>160.5886266966221</v>
      </c>
      <c r="L201" s="102">
        <f t="shared" si="73"/>
        <v>34.719793768557352</v>
      </c>
      <c r="M201" s="102">
        <f t="shared" si="73"/>
        <v>61.353631151722226</v>
      </c>
      <c r="N201" s="102">
        <f t="shared" si="73"/>
        <v>178.35090529676154</v>
      </c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102"/>
      <c r="AG201" s="102"/>
      <c r="AH201" s="102"/>
      <c r="AI201" s="102"/>
      <c r="AJ201" s="102"/>
      <c r="AK201" s="102"/>
      <c r="AL201" s="102"/>
      <c r="AM201" s="102"/>
      <c r="AN201" s="102"/>
      <c r="AO201" s="102"/>
      <c r="AP201" s="102"/>
      <c r="AQ201" s="102"/>
      <c r="AR201" s="102"/>
    </row>
    <row r="202" spans="2:44">
      <c r="B202" s="99">
        <f t="shared" si="51"/>
        <v>24</v>
      </c>
      <c r="C202" s="102">
        <f t="shared" ref="C202:N202" si="74">C109+C160</f>
        <v>657.55955377716248</v>
      </c>
      <c r="D202" s="102">
        <f t="shared" si="74"/>
        <v>74.858136367032131</v>
      </c>
      <c r="E202" s="102">
        <f t="shared" si="74"/>
        <v>45.609584272135834</v>
      </c>
      <c r="F202" s="102">
        <f t="shared" si="74"/>
        <v>142.15743639644933</v>
      </c>
      <c r="G202" s="102">
        <f t="shared" si="74"/>
        <v>210.48300141165234</v>
      </c>
      <c r="H202" s="102">
        <f t="shared" si="74"/>
        <v>89.916601446928127</v>
      </c>
      <c r="I202" s="102">
        <f t="shared" si="74"/>
        <v>218.79180062349548</v>
      </c>
      <c r="J202" s="102">
        <f t="shared" si="74"/>
        <v>73.081908507018156</v>
      </c>
      <c r="K202" s="102">
        <f t="shared" si="74"/>
        <v>165.40628549752074</v>
      </c>
      <c r="L202" s="102">
        <f t="shared" si="74"/>
        <v>35.761387581614066</v>
      </c>
      <c r="M202" s="102">
        <f t="shared" si="74"/>
        <v>63.194240086273894</v>
      </c>
      <c r="N202" s="102">
        <f t="shared" si="74"/>
        <v>183.70143245566436</v>
      </c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102"/>
      <c r="AF202" s="102"/>
      <c r="AG202" s="102"/>
      <c r="AH202" s="102"/>
      <c r="AI202" s="102"/>
      <c r="AJ202" s="102"/>
      <c r="AK202" s="102"/>
      <c r="AL202" s="102"/>
      <c r="AM202" s="102"/>
      <c r="AN202" s="102"/>
      <c r="AO202" s="102"/>
      <c r="AP202" s="102"/>
      <c r="AQ202" s="102"/>
      <c r="AR202" s="102"/>
    </row>
    <row r="203" spans="2:44">
      <c r="B203" s="99">
        <f t="shared" si="51"/>
        <v>25</v>
      </c>
      <c r="C203" s="102">
        <f t="shared" ref="C203:N203" si="75">C110+C161</f>
        <v>844.78857476281451</v>
      </c>
      <c r="D203" s="102">
        <f t="shared" si="75"/>
        <v>809.92615583701786</v>
      </c>
      <c r="E203" s="102">
        <f t="shared" si="75"/>
        <v>256.35566476572126</v>
      </c>
      <c r="F203" s="102">
        <f t="shared" si="75"/>
        <v>355.79995245376415</v>
      </c>
      <c r="G203" s="102">
        <f t="shared" si="75"/>
        <v>426.17528441942329</v>
      </c>
      <c r="H203" s="102">
        <f t="shared" si="75"/>
        <v>218.2407752695888</v>
      </c>
      <c r="I203" s="102">
        <f t="shared" si="75"/>
        <v>330.04445112491101</v>
      </c>
      <c r="J203" s="102">
        <f t="shared" si="75"/>
        <v>179.96326224493939</v>
      </c>
      <c r="K203" s="102">
        <f t="shared" si="75"/>
        <v>295.99514984169923</v>
      </c>
      <c r="L203" s="102">
        <f t="shared" si="75"/>
        <v>162.46090498831532</v>
      </c>
      <c r="M203" s="102">
        <f t="shared" si="75"/>
        <v>169.77896377157279</v>
      </c>
      <c r="N203" s="102">
        <f t="shared" si="75"/>
        <v>503.27916487746643</v>
      </c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  <c r="AG203" s="102"/>
      <c r="AH203" s="102"/>
      <c r="AI203" s="102"/>
      <c r="AJ203" s="102"/>
      <c r="AK203" s="102"/>
      <c r="AL203" s="102"/>
      <c r="AM203" s="102"/>
      <c r="AN203" s="102"/>
      <c r="AO203" s="102"/>
      <c r="AP203" s="102"/>
      <c r="AQ203" s="102"/>
      <c r="AR203" s="102"/>
    </row>
    <row r="204" spans="2:44">
      <c r="B204" s="99">
        <f t="shared" si="51"/>
        <v>26</v>
      </c>
      <c r="C204" s="102">
        <f t="shared" ref="C204:N204" si="76">C111+C162</f>
        <v>697.60493060219164</v>
      </c>
      <c r="D204" s="102">
        <f t="shared" si="76"/>
        <v>79.416996871784391</v>
      </c>
      <c r="E204" s="102">
        <f t="shared" si="76"/>
        <v>48.387207954308906</v>
      </c>
      <c r="F204" s="102">
        <f t="shared" si="76"/>
        <v>150.81482427299312</v>
      </c>
      <c r="G204" s="102">
        <f t="shared" si="76"/>
        <v>223.30141619762202</v>
      </c>
      <c r="H204" s="102">
        <f t="shared" si="76"/>
        <v>95.39252247504605</v>
      </c>
      <c r="I204" s="102">
        <f t="shared" si="76"/>
        <v>232.11622128146638</v>
      </c>
      <c r="J204" s="102">
        <f t="shared" si="76"/>
        <v>77.532596735095566</v>
      </c>
      <c r="K204" s="102">
        <f t="shared" si="76"/>
        <v>175.47952828431977</v>
      </c>
      <c r="L204" s="102">
        <f t="shared" si="76"/>
        <v>37.939256085334371</v>
      </c>
      <c r="M204" s="102">
        <f t="shared" si="76"/>
        <v>67.042769307527976</v>
      </c>
      <c r="N204" s="102">
        <f t="shared" si="76"/>
        <v>194.88884969221436</v>
      </c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2"/>
      <c r="AH204" s="102"/>
      <c r="AI204" s="102"/>
      <c r="AJ204" s="102"/>
      <c r="AK204" s="102"/>
      <c r="AL204" s="102"/>
      <c r="AM204" s="102"/>
      <c r="AN204" s="102"/>
      <c r="AO204" s="102"/>
      <c r="AP204" s="102"/>
      <c r="AQ204" s="102"/>
      <c r="AR204" s="102"/>
    </row>
    <row r="205" spans="2:44">
      <c r="B205" s="99">
        <f t="shared" si="51"/>
        <v>27</v>
      </c>
      <c r="C205" s="102">
        <f t="shared" ref="C205:N205" si="77">C112+C163</f>
        <v>718.5330785202575</v>
      </c>
      <c r="D205" s="102">
        <f t="shared" si="77"/>
        <v>81.799506777937921</v>
      </c>
      <c r="E205" s="102">
        <f t="shared" si="77"/>
        <v>49.838824192938176</v>
      </c>
      <c r="F205" s="102">
        <f t="shared" si="77"/>
        <v>155.33926900118288</v>
      </c>
      <c r="G205" s="102">
        <f t="shared" si="77"/>
        <v>230.00045868355065</v>
      </c>
      <c r="H205" s="102">
        <f t="shared" si="77"/>
        <v>98.254298149297426</v>
      </c>
      <c r="I205" s="102">
        <f t="shared" si="77"/>
        <v>239.07970791991036</v>
      </c>
      <c r="J205" s="102">
        <f t="shared" si="77"/>
        <v>79.858574637148422</v>
      </c>
      <c r="K205" s="102">
        <f t="shared" si="77"/>
        <v>180.74391413284937</v>
      </c>
      <c r="L205" s="102">
        <f t="shared" si="77"/>
        <v>39.077433767894398</v>
      </c>
      <c r="M205" s="102">
        <f t="shared" si="77"/>
        <v>69.054052386753824</v>
      </c>
      <c r="N205" s="102">
        <f t="shared" si="77"/>
        <v>200.73551518298075</v>
      </c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102"/>
      <c r="AJ205" s="102"/>
      <c r="AK205" s="102"/>
      <c r="AL205" s="102"/>
      <c r="AM205" s="102"/>
      <c r="AN205" s="102"/>
      <c r="AO205" s="102"/>
      <c r="AP205" s="102"/>
      <c r="AQ205" s="102"/>
      <c r="AR205" s="102"/>
    </row>
    <row r="206" spans="2:44">
      <c r="B206" s="99">
        <f t="shared" si="51"/>
        <v>28</v>
      </c>
      <c r="C206" s="102">
        <f t="shared" ref="C206:N206" si="78">C113+C164</f>
        <v>740.0890708758651</v>
      </c>
      <c r="D206" s="102">
        <f t="shared" si="78"/>
        <v>84.253491981276056</v>
      </c>
      <c r="E206" s="102">
        <f t="shared" si="78"/>
        <v>-148.66601108127369</v>
      </c>
      <c r="F206" s="102">
        <f t="shared" si="78"/>
        <v>159.99944707121838</v>
      </c>
      <c r="G206" s="102">
        <f t="shared" si="78"/>
        <v>236.90047244405719</v>
      </c>
      <c r="H206" s="102">
        <f t="shared" si="78"/>
        <v>101.20192709377636</v>
      </c>
      <c r="I206" s="102">
        <f t="shared" si="78"/>
        <v>246.25209915750767</v>
      </c>
      <c r="J206" s="102">
        <f t="shared" si="78"/>
        <v>82.254331876262881</v>
      </c>
      <c r="K206" s="102">
        <f t="shared" si="78"/>
        <v>186.16623155683484</v>
      </c>
      <c r="L206" s="102">
        <f t="shared" si="78"/>
        <v>40.249756780931236</v>
      </c>
      <c r="M206" s="102">
        <f t="shared" si="78"/>
        <v>71.12567395835643</v>
      </c>
      <c r="N206" s="102">
        <f t="shared" si="78"/>
        <v>206.75758063847019</v>
      </c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102"/>
      <c r="AJ206" s="102"/>
      <c r="AK206" s="102"/>
      <c r="AL206" s="102"/>
      <c r="AM206" s="102"/>
      <c r="AN206" s="102"/>
      <c r="AO206" s="102"/>
      <c r="AP206" s="102"/>
      <c r="AQ206" s="102"/>
      <c r="AR206" s="102"/>
    </row>
    <row r="207" spans="2:44">
      <c r="B207" s="99">
        <f t="shared" si="51"/>
        <v>29</v>
      </c>
      <c r="C207" s="102">
        <f t="shared" ref="C207:N207" si="79">C114+C165</f>
        <v>762.29174300214106</v>
      </c>
      <c r="D207" s="102">
        <f t="shared" si="79"/>
        <v>86.781096740714332</v>
      </c>
      <c r="E207" s="102">
        <f t="shared" si="79"/>
        <v>52.874008586288099</v>
      </c>
      <c r="F207" s="102">
        <f t="shared" si="79"/>
        <v>164.79943048335491</v>
      </c>
      <c r="G207" s="102">
        <f t="shared" si="79"/>
        <v>244.00748661737887</v>
      </c>
      <c r="H207" s="102">
        <f t="shared" si="79"/>
        <v>104.23798490658965</v>
      </c>
      <c r="I207" s="102">
        <f t="shared" si="79"/>
        <v>253.6396621322329</v>
      </c>
      <c r="J207" s="102">
        <f t="shared" si="79"/>
        <v>84.721961832550761</v>
      </c>
      <c r="K207" s="102">
        <f t="shared" si="79"/>
        <v>191.75121850353989</v>
      </c>
      <c r="L207" s="102">
        <f t="shared" si="79"/>
        <v>41.457249484359167</v>
      </c>
      <c r="M207" s="102">
        <f t="shared" si="79"/>
        <v>73.259444177107127</v>
      </c>
      <c r="N207" s="102">
        <f t="shared" si="79"/>
        <v>212.96030805762427</v>
      </c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2"/>
      <c r="AJ207" s="102"/>
      <c r="AK207" s="102"/>
      <c r="AL207" s="102"/>
      <c r="AM207" s="102"/>
      <c r="AN207" s="102"/>
      <c r="AO207" s="102"/>
      <c r="AP207" s="102"/>
      <c r="AQ207" s="102"/>
      <c r="AR207" s="102"/>
    </row>
    <row r="208" spans="2:44">
      <c r="B208" s="99">
        <f t="shared" si="51"/>
        <v>30</v>
      </c>
      <c r="C208" s="102">
        <f t="shared" ref="C208:N208" si="80">C115+C166</f>
        <v>785.16049529220527</v>
      </c>
      <c r="D208" s="102">
        <f t="shared" si="80"/>
        <v>89.384529642935775</v>
      </c>
      <c r="E208" s="102">
        <f t="shared" si="80"/>
        <v>54.460228843876749</v>
      </c>
      <c r="F208" s="102">
        <f t="shared" si="80"/>
        <v>169.74341339785559</v>
      </c>
      <c r="G208" s="102">
        <f t="shared" si="80"/>
        <v>251.32771121590025</v>
      </c>
      <c r="H208" s="102">
        <f t="shared" si="80"/>
        <v>107.36512445378733</v>
      </c>
      <c r="I208" s="102">
        <f t="shared" si="80"/>
        <v>261.2488519961999</v>
      </c>
      <c r="J208" s="102">
        <f t="shared" si="80"/>
        <v>87.263620687527293</v>
      </c>
      <c r="K208" s="102">
        <f t="shared" si="80"/>
        <v>197.50375505864608</v>
      </c>
      <c r="L208" s="102">
        <f t="shared" si="80"/>
        <v>42.700966968889944</v>
      </c>
      <c r="M208" s="102">
        <f t="shared" si="80"/>
        <v>75.457227502420338</v>
      </c>
      <c r="N208" s="102">
        <f t="shared" si="80"/>
        <v>219.349117299353</v>
      </c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102"/>
      <c r="AJ208" s="102"/>
      <c r="AK208" s="102"/>
      <c r="AL208" s="102"/>
      <c r="AM208" s="102"/>
      <c r="AN208" s="102"/>
      <c r="AO208" s="102"/>
      <c r="AP208" s="102"/>
      <c r="AQ208" s="102"/>
      <c r="AR208" s="102"/>
    </row>
    <row r="209" spans="1:44">
      <c r="B209" s="99">
        <f t="shared" si="51"/>
        <v>31</v>
      </c>
      <c r="C209" s="102">
        <f t="shared" ref="C209:N209" si="81">C116+C167</f>
        <v>808.7153101509715</v>
      </c>
      <c r="D209" s="102">
        <f t="shared" si="81"/>
        <v>92.066065532223845</v>
      </c>
      <c r="E209" s="102">
        <f t="shared" si="81"/>
        <v>56.094035709193058</v>
      </c>
      <c r="F209" s="102">
        <f t="shared" si="81"/>
        <v>174.83571579979127</v>
      </c>
      <c r="G209" s="102">
        <f t="shared" si="81"/>
        <v>258.8675425523773</v>
      </c>
      <c r="H209" s="102">
        <f t="shared" si="81"/>
        <v>110.58607818740097</v>
      </c>
      <c r="I209" s="102">
        <f t="shared" si="81"/>
        <v>269.08631755608593</v>
      </c>
      <c r="J209" s="102">
        <f t="shared" si="81"/>
        <v>89.881529308153119</v>
      </c>
      <c r="K209" s="102">
        <f t="shared" si="81"/>
        <v>203.42886771040548</v>
      </c>
      <c r="L209" s="102">
        <f t="shared" si="81"/>
        <v>43.981995977956643</v>
      </c>
      <c r="M209" s="102">
        <f t="shared" si="81"/>
        <v>77.720944327492958</v>
      </c>
      <c r="N209" s="102">
        <f t="shared" si="81"/>
        <v>225.92959081833362</v>
      </c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102"/>
      <c r="AB209" s="102"/>
      <c r="AC209" s="102"/>
      <c r="AD209" s="102"/>
      <c r="AE209" s="102"/>
      <c r="AF209" s="102"/>
      <c r="AG209" s="102"/>
      <c r="AH209" s="102"/>
      <c r="AI209" s="102"/>
      <c r="AJ209" s="102"/>
      <c r="AK209" s="102"/>
      <c r="AL209" s="102"/>
      <c r="AM209" s="102"/>
      <c r="AN209" s="102"/>
      <c r="AO209" s="102"/>
      <c r="AP209" s="102"/>
      <c r="AQ209" s="102"/>
      <c r="AR209" s="102"/>
    </row>
    <row r="210" spans="1:44">
      <c r="B210" s="99">
        <f t="shared" si="51"/>
        <v>32</v>
      </c>
      <c r="C210" s="102">
        <f t="shared" ref="C210:N210" si="82">C117+C168</f>
        <v>832.97676945550074</v>
      </c>
      <c r="D210" s="102">
        <f t="shared" si="82"/>
        <v>94.828047498190557</v>
      </c>
      <c r="E210" s="102">
        <f t="shared" si="82"/>
        <v>57.77685678046884</v>
      </c>
      <c r="F210" s="102">
        <f t="shared" si="82"/>
        <v>180.08078727378501</v>
      </c>
      <c r="G210" s="102">
        <f t="shared" si="82"/>
        <v>266.63356882894857</v>
      </c>
      <c r="H210" s="102">
        <f t="shared" si="82"/>
        <v>113.90366053302299</v>
      </c>
      <c r="I210" s="102">
        <f t="shared" si="82"/>
        <v>277.15890708276851</v>
      </c>
      <c r="J210" s="102">
        <f t="shared" si="82"/>
        <v>92.577975187397698</v>
      </c>
      <c r="K210" s="102">
        <f t="shared" si="82"/>
        <v>209.53173374171763</v>
      </c>
      <c r="L210" s="102">
        <f t="shared" si="82"/>
        <v>45.301455857295338</v>
      </c>
      <c r="M210" s="102">
        <f t="shared" si="82"/>
        <v>80.052572657317739</v>
      </c>
      <c r="N210" s="102">
        <f t="shared" si="82"/>
        <v>232.70747854288362</v>
      </c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102"/>
      <c r="AB210" s="102"/>
      <c r="AC210" s="102"/>
      <c r="AD210" s="102"/>
      <c r="AE210" s="102"/>
      <c r="AF210" s="102"/>
      <c r="AG210" s="102"/>
      <c r="AH210" s="102"/>
      <c r="AI210" s="102"/>
      <c r="AJ210" s="102"/>
      <c r="AK210" s="102"/>
      <c r="AL210" s="102"/>
      <c r="AM210" s="102"/>
      <c r="AN210" s="102"/>
      <c r="AO210" s="102"/>
      <c r="AP210" s="102"/>
      <c r="AQ210" s="102"/>
      <c r="AR210" s="102"/>
    </row>
    <row r="211" spans="1:44">
      <c r="B211" s="99">
        <f t="shared" si="51"/>
        <v>33</v>
      </c>
      <c r="C211" s="102">
        <f t="shared" ref="C211:N211" si="83">C118+C169</f>
        <v>857.96607253916568</v>
      </c>
      <c r="D211" s="102">
        <f t="shared" si="83"/>
        <v>97.67288892313627</v>
      </c>
      <c r="E211" s="102">
        <f t="shared" si="83"/>
        <v>59.510162483882908</v>
      </c>
      <c r="F211" s="102">
        <f t="shared" si="83"/>
        <v>185.48321089199854</v>
      </c>
      <c r="G211" s="102">
        <f t="shared" si="83"/>
        <v>274.63257589381703</v>
      </c>
      <c r="H211" s="102">
        <f t="shared" si="83"/>
        <v>117.32077034901369</v>
      </c>
      <c r="I211" s="102">
        <f t="shared" si="83"/>
        <v>285.47367429525156</v>
      </c>
      <c r="J211" s="102">
        <f t="shared" si="83"/>
        <v>95.355314443019623</v>
      </c>
      <c r="K211" s="102">
        <f t="shared" si="83"/>
        <v>215.81768575396916</v>
      </c>
      <c r="L211" s="102">
        <f t="shared" si="83"/>
        <v>46.660499533014196</v>
      </c>
      <c r="M211" s="102">
        <f t="shared" si="83"/>
        <v>82.454149837037278</v>
      </c>
      <c r="N211" s="102">
        <f t="shared" si="83"/>
        <v>239.68870289917012</v>
      </c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102"/>
      <c r="AB211" s="102"/>
      <c r="AC211" s="102"/>
      <c r="AD211" s="102"/>
      <c r="AE211" s="102"/>
      <c r="AF211" s="102"/>
      <c r="AG211" s="102"/>
      <c r="AH211" s="102"/>
      <c r="AI211" s="102"/>
      <c r="AJ211" s="102"/>
      <c r="AK211" s="102"/>
      <c r="AL211" s="102"/>
      <c r="AM211" s="102"/>
      <c r="AN211" s="102"/>
      <c r="AO211" s="102"/>
      <c r="AP211" s="102"/>
      <c r="AQ211" s="102"/>
      <c r="AR211" s="102"/>
    </row>
    <row r="212" spans="1:44">
      <c r="B212" s="99">
        <f t="shared" si="51"/>
        <v>34</v>
      </c>
      <c r="C212" s="102">
        <f t="shared" ref="C212:N212" si="84">C119+C170</f>
        <v>883.70505471534068</v>
      </c>
      <c r="D212" s="102">
        <f t="shared" si="84"/>
        <v>100.60307559083036</v>
      </c>
      <c r="E212" s="102">
        <f t="shared" si="84"/>
        <v>61.295467358399392</v>
      </c>
      <c r="F212" s="102">
        <f t="shared" si="84"/>
        <v>-83.952292781241511</v>
      </c>
      <c r="G212" s="102">
        <f t="shared" si="84"/>
        <v>282.87155317063156</v>
      </c>
      <c r="H212" s="102">
        <f t="shared" si="84"/>
        <v>120.84039345948409</v>
      </c>
      <c r="I212" s="102">
        <f t="shared" si="84"/>
        <v>294.03788452410913</v>
      </c>
      <c r="J212" s="102">
        <f t="shared" si="84"/>
        <v>98.215973876310201</v>
      </c>
      <c r="K212" s="102">
        <f t="shared" si="84"/>
        <v>222.29221632658823</v>
      </c>
      <c r="L212" s="102">
        <f t="shared" si="84"/>
        <v>48.060314519004621</v>
      </c>
      <c r="M212" s="102">
        <f t="shared" si="84"/>
        <v>84.927774332148388</v>
      </c>
      <c r="N212" s="102">
        <f t="shared" si="84"/>
        <v>-43.120636013854792</v>
      </c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02"/>
      <c r="AG212" s="102"/>
      <c r="AH212" s="102"/>
      <c r="AI212" s="102"/>
      <c r="AJ212" s="102"/>
      <c r="AK212" s="102"/>
      <c r="AL212" s="102"/>
      <c r="AM212" s="102"/>
      <c r="AN212" s="102"/>
      <c r="AO212" s="102"/>
      <c r="AP212" s="102"/>
      <c r="AQ212" s="102"/>
      <c r="AR212" s="102"/>
    </row>
    <row r="213" spans="1:44">
      <c r="B213" s="99">
        <f t="shared" si="51"/>
        <v>35</v>
      </c>
      <c r="C213" s="102">
        <f t="shared" ref="C213:N213" si="85">C120+C171</f>
        <v>610.21620635680097</v>
      </c>
      <c r="D213" s="102">
        <f t="shared" si="85"/>
        <v>-496.37883214144472</v>
      </c>
      <c r="E213" s="102">
        <f t="shared" si="85"/>
        <v>63.134331379151376</v>
      </c>
      <c r="F213" s="102">
        <f t="shared" si="85"/>
        <v>196.77913843532124</v>
      </c>
      <c r="G213" s="102">
        <f t="shared" si="85"/>
        <v>-54.64230023424949</v>
      </c>
      <c r="H213" s="102">
        <f t="shared" si="85"/>
        <v>124.46560526326863</v>
      </c>
      <c r="I213" s="102">
        <f t="shared" si="85"/>
        <v>302.8590210598324</v>
      </c>
      <c r="J213" s="102">
        <f t="shared" si="85"/>
        <v>101.16245309259952</v>
      </c>
      <c r="K213" s="102">
        <f t="shared" si="85"/>
        <v>228.96098281638592</v>
      </c>
      <c r="L213" s="102">
        <f t="shared" si="85"/>
        <v>49.50212395457477</v>
      </c>
      <c r="M213" s="102">
        <f t="shared" si="85"/>
        <v>87.475607562112856</v>
      </c>
      <c r="N213" s="102">
        <f t="shared" si="85"/>
        <v>254.28574490572962</v>
      </c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102"/>
      <c r="AJ213" s="102"/>
      <c r="AK213" s="102"/>
      <c r="AL213" s="102"/>
      <c r="AM213" s="102"/>
      <c r="AN213" s="102"/>
      <c r="AO213" s="102"/>
      <c r="AP213" s="102"/>
      <c r="AQ213" s="102"/>
      <c r="AR213" s="102"/>
    </row>
    <row r="214" spans="1:44">
      <c r="B214" s="99">
        <f t="shared" si="51"/>
        <v>36</v>
      </c>
      <c r="C214" s="102">
        <f t="shared" ref="C214:N214" si="86">C121+C172</f>
        <v>937.5226925475049</v>
      </c>
      <c r="D214" s="102">
        <f t="shared" si="86"/>
        <v>106.72980289431194</v>
      </c>
      <c r="E214" s="102">
        <f t="shared" si="86"/>
        <v>65.028361320525917</v>
      </c>
      <c r="F214" s="102">
        <f t="shared" si="86"/>
        <v>202.68251258838089</v>
      </c>
      <c r="G214" s="102">
        <f t="shared" si="86"/>
        <v>300.098430758723</v>
      </c>
      <c r="H214" s="102">
        <f t="shared" si="86"/>
        <v>128.19957342116669</v>
      </c>
      <c r="I214" s="102">
        <f t="shared" si="86"/>
        <v>311.94479169162736</v>
      </c>
      <c r="J214" s="102">
        <f t="shared" si="86"/>
        <v>104.19732668537752</v>
      </c>
      <c r="K214" s="102">
        <f t="shared" si="86"/>
        <v>235.82981230087748</v>
      </c>
      <c r="L214" s="102">
        <f t="shared" si="86"/>
        <v>50.987187673212006</v>
      </c>
      <c r="M214" s="102">
        <f t="shared" si="86"/>
        <v>90.099875788976235</v>
      </c>
      <c r="N214" s="102">
        <f t="shared" si="86"/>
        <v>261.91431725290147</v>
      </c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102"/>
      <c r="AJ214" s="102"/>
      <c r="AK214" s="102"/>
      <c r="AL214" s="102"/>
      <c r="AM214" s="102"/>
      <c r="AN214" s="102"/>
      <c r="AO214" s="102"/>
      <c r="AP214" s="102"/>
      <c r="AQ214" s="102"/>
      <c r="AR214" s="102"/>
    </row>
    <row r="215" spans="1:44">
      <c r="B215" s="99">
        <f>B173</f>
        <v>37</v>
      </c>
      <c r="C215" s="102">
        <f t="shared" ref="C215:N215" si="87">C122+C173</f>
        <v>965.64837332393006</v>
      </c>
      <c r="D215" s="102">
        <f t="shared" si="87"/>
        <v>109.9316969811413</v>
      </c>
      <c r="E215" s="102">
        <f t="shared" si="87"/>
        <v>66.979212160141685</v>
      </c>
      <c r="F215" s="102">
        <f t="shared" si="87"/>
        <v>208.76298796603231</v>
      </c>
      <c r="G215" s="102">
        <f t="shared" si="87"/>
        <v>309.10138368148472</v>
      </c>
      <c r="H215" s="102">
        <f t="shared" si="87"/>
        <v>132.04556062380169</v>
      </c>
      <c r="I215" s="102">
        <f t="shared" si="87"/>
        <v>321.30313544237617</v>
      </c>
      <c r="J215" s="102">
        <f t="shared" si="87"/>
        <v>107.32324648593882</v>
      </c>
      <c r="K215" s="102">
        <f t="shared" si="87"/>
        <v>242.90470666990382</v>
      </c>
      <c r="L215" s="102">
        <f t="shared" si="87"/>
        <v>52.516803303408359</v>
      </c>
      <c r="M215" s="102">
        <f t="shared" si="87"/>
        <v>92.80287206264552</v>
      </c>
      <c r="N215" s="102">
        <f t="shared" si="87"/>
        <v>269.77174677048856</v>
      </c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102"/>
      <c r="AG215" s="102"/>
      <c r="AH215" s="102"/>
      <c r="AI215" s="102"/>
      <c r="AJ215" s="102"/>
      <c r="AK215" s="102"/>
      <c r="AL215" s="102"/>
      <c r="AM215" s="102"/>
      <c r="AN215" s="102"/>
      <c r="AO215" s="102"/>
      <c r="AP215" s="102"/>
      <c r="AQ215" s="102"/>
      <c r="AR215" s="102"/>
    </row>
    <row r="216" spans="1:44">
      <c r="B216" s="99">
        <f t="shared" si="51"/>
        <v>38</v>
      </c>
      <c r="C216" s="102">
        <f t="shared" ref="C216:N216" si="88">C123+C174</f>
        <v>994.6178245236481</v>
      </c>
      <c r="D216" s="102">
        <f t="shared" si="88"/>
        <v>113.22964789057554</v>
      </c>
      <c r="E216" s="102">
        <f t="shared" si="88"/>
        <v>68.988588524945939</v>
      </c>
      <c r="F216" s="102">
        <f t="shared" si="88"/>
        <v>215.02587760501328</v>
      </c>
      <c r="G216" s="102">
        <f t="shared" si="88"/>
        <v>318.37442519192928</v>
      </c>
      <c r="H216" s="102">
        <f t="shared" si="88"/>
        <v>136.00692744251575</v>
      </c>
      <c r="I216" s="102">
        <f t="shared" si="88"/>
        <v>330.94222950564745</v>
      </c>
      <c r="J216" s="102">
        <f t="shared" si="88"/>
        <v>110.54294388051699</v>
      </c>
      <c r="K216" s="102">
        <f t="shared" si="88"/>
        <v>62.191847870000913</v>
      </c>
      <c r="L216" s="102">
        <f t="shared" si="88"/>
        <v>54.092307402510613</v>
      </c>
      <c r="M216" s="102">
        <f t="shared" si="88"/>
        <v>95.586958224524878</v>
      </c>
      <c r="N216" s="102">
        <f t="shared" si="88"/>
        <v>277.86489917360319</v>
      </c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  <c r="AC216" s="102"/>
      <c r="AD216" s="102"/>
      <c r="AE216" s="102"/>
      <c r="AF216" s="102"/>
      <c r="AG216" s="102"/>
      <c r="AH216" s="102"/>
      <c r="AI216" s="102"/>
      <c r="AJ216" s="102"/>
      <c r="AK216" s="102"/>
      <c r="AL216" s="102"/>
      <c r="AM216" s="102"/>
      <c r="AN216" s="102"/>
      <c r="AO216" s="102"/>
      <c r="AP216" s="102"/>
      <c r="AQ216" s="102"/>
      <c r="AR216" s="102"/>
    </row>
    <row r="217" spans="1:44">
      <c r="B217" s="99">
        <f t="shared" si="51"/>
        <v>39</v>
      </c>
      <c r="C217" s="102">
        <f t="shared" ref="C217:N217" si="89">C124+C175</f>
        <v>1024.4563592593574</v>
      </c>
      <c r="D217" s="102">
        <f t="shared" si="89"/>
        <v>116.62653732729281</v>
      </c>
      <c r="E217" s="102">
        <f t="shared" si="89"/>
        <v>71.058246180694326</v>
      </c>
      <c r="F217" s="102">
        <f t="shared" si="89"/>
        <v>221.47665393316367</v>
      </c>
      <c r="G217" s="102">
        <f t="shared" si="89"/>
        <v>327.92565794768717</v>
      </c>
      <c r="H217" s="102">
        <f t="shared" si="89"/>
        <v>140.0871352657912</v>
      </c>
      <c r="I217" s="102">
        <f t="shared" si="89"/>
        <v>340.87049639081692</v>
      </c>
      <c r="J217" s="102">
        <f t="shared" si="89"/>
        <v>113.85923219693251</v>
      </c>
      <c r="K217" s="102">
        <f t="shared" si="89"/>
        <v>257.69760330610097</v>
      </c>
      <c r="L217" s="102">
        <f t="shared" si="89"/>
        <v>55.715076624585933</v>
      </c>
      <c r="M217" s="102">
        <f t="shared" si="89"/>
        <v>98.454566971260633</v>
      </c>
      <c r="N217" s="102">
        <f t="shared" si="89"/>
        <v>286.20084614881131</v>
      </c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102"/>
      <c r="AG217" s="102"/>
      <c r="AH217" s="102"/>
      <c r="AI217" s="102"/>
      <c r="AJ217" s="102"/>
      <c r="AK217" s="102"/>
      <c r="AL217" s="102"/>
      <c r="AM217" s="102"/>
      <c r="AN217" s="102"/>
      <c r="AO217" s="102"/>
      <c r="AP217" s="102"/>
      <c r="AQ217" s="102"/>
      <c r="AR217" s="102"/>
    </row>
    <row r="218" spans="1:44">
      <c r="B218" s="99">
        <f t="shared" si="51"/>
        <v>40</v>
      </c>
      <c r="C218" s="102">
        <f t="shared" ref="C218:N218" si="90">C125+C176</f>
        <v>1316.153073397064</v>
      </c>
      <c r="D218" s="102">
        <f t="shared" si="90"/>
        <v>1261.8385606467866</v>
      </c>
      <c r="E218" s="102">
        <f t="shared" si="90"/>
        <v>399.39377276602238</v>
      </c>
      <c r="F218" s="102">
        <f t="shared" si="90"/>
        <v>554.32473275106577</v>
      </c>
      <c r="G218" s="102">
        <f t="shared" si="90"/>
        <v>663.967206886025</v>
      </c>
      <c r="H218" s="102">
        <f t="shared" si="90"/>
        <v>340.01201684370926</v>
      </c>
      <c r="I218" s="102">
        <f t="shared" si="90"/>
        <v>514.19850088249495</v>
      </c>
      <c r="J218" s="102">
        <f t="shared" si="90"/>
        <v>280.3768987627941</v>
      </c>
      <c r="K218" s="102">
        <f t="shared" si="90"/>
        <v>461.15079892522834</v>
      </c>
      <c r="L218" s="102">
        <f t="shared" si="90"/>
        <v>253.10879644326783</v>
      </c>
      <c r="M218" s="102">
        <f t="shared" si="90"/>
        <v>264.51009358035208</v>
      </c>
      <c r="N218" s="102">
        <f t="shared" si="90"/>
        <v>784.09254033313641</v>
      </c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102"/>
      <c r="AH218" s="102"/>
      <c r="AI218" s="102"/>
      <c r="AJ218" s="102"/>
      <c r="AK218" s="102"/>
      <c r="AL218" s="102"/>
      <c r="AM218" s="102"/>
      <c r="AN218" s="102"/>
      <c r="AO218" s="102"/>
      <c r="AP218" s="102"/>
      <c r="AQ218" s="102"/>
      <c r="AR218" s="102"/>
    </row>
    <row r="220" spans="1:44">
      <c r="A220" s="86" t="s">
        <v>148</v>
      </c>
      <c r="C220" s="83" t="e">
        <f>IRR(C179:C218)</f>
        <v>#NUM!</v>
      </c>
      <c r="D220" s="83">
        <f t="shared" ref="D220:N220" si="91">IRR(D179:D218)</f>
        <v>9.1654042382721013E-2</v>
      </c>
      <c r="E220" s="83">
        <f t="shared" si="91"/>
        <v>0.171149196685775</v>
      </c>
      <c r="F220" s="83">
        <f t="shared" si="91"/>
        <v>0.40506223030839839</v>
      </c>
      <c r="G220" s="83">
        <f t="shared" si="91"/>
        <v>0.49524606779610103</v>
      </c>
      <c r="H220" s="83">
        <f t="shared" si="91"/>
        <v>0.46141488414020126</v>
      </c>
      <c r="I220" s="83">
        <f t="shared" si="91"/>
        <v>0.28705933180508647</v>
      </c>
      <c r="J220" s="83">
        <f t="shared" si="91"/>
        <v>0.27577496769696408</v>
      </c>
      <c r="K220" s="83">
        <f t="shared" si="91"/>
        <v>0.86090992457237481</v>
      </c>
      <c r="L220" s="83">
        <f t="shared" si="91"/>
        <v>0.14347927247090708</v>
      </c>
      <c r="M220" s="83">
        <f t="shared" si="91"/>
        <v>0.2128703943365009</v>
      </c>
      <c r="N220" s="83">
        <f t="shared" si="91"/>
        <v>0.52811209479923482</v>
      </c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83"/>
      <c r="AG220" s="83"/>
      <c r="AH220" s="83"/>
      <c r="AI220" s="83"/>
      <c r="AJ220" s="83"/>
      <c r="AK220" s="83"/>
      <c r="AL220" s="83"/>
      <c r="AM220" s="83"/>
      <c r="AN220" s="83"/>
      <c r="AO220" s="83"/>
      <c r="AP220" s="83"/>
      <c r="AQ220" s="83"/>
      <c r="AR220" s="83"/>
    </row>
    <row r="221" spans="1:44">
      <c r="A221" s="86" t="s">
        <v>149</v>
      </c>
      <c r="C221" s="91">
        <f>NPV(parameters!B99,C179:C218)</f>
        <v>24458.170286021523</v>
      </c>
      <c r="D221" s="91">
        <f>NPV(parameters!C99,D179:D218)</f>
        <v>2804.8760170332557</v>
      </c>
      <c r="E221" s="91">
        <f>NPV(parameters!D99,E179:E218)</f>
        <v>1812.4963225363613</v>
      </c>
      <c r="F221" s="91">
        <f>NPV(parameters!E99,F179:F218)</f>
        <v>5276.1259486895196</v>
      </c>
      <c r="G221" s="91">
        <f>NPV(parameters!F99,G179:G218)</f>
        <v>7673.517560656448</v>
      </c>
      <c r="H221" s="91">
        <f>NPV(parameters!G99,H179:H218)</f>
        <v>3680.2653195091066</v>
      </c>
      <c r="I221" s="91">
        <f>NPV(parameters!H99,I179:I218)</f>
        <v>7573.9702590837878</v>
      </c>
      <c r="J221" s="91">
        <f>NPV(parameters!I99,J179:J218)</f>
        <v>2927.0952529740612</v>
      </c>
      <c r="K221" s="91">
        <f>NPV(parameters!J99,K179:K218)</f>
        <v>6157.3635043079266</v>
      </c>
      <c r="L221" s="91">
        <f>NPV(parameters!K99,L179:L218)</f>
        <v>1558.2547524272852</v>
      </c>
      <c r="M221" s="91">
        <f>NPV(parameters!L99,M179:M218)</f>
        <v>2524.3349417102168</v>
      </c>
      <c r="N221" s="91">
        <f>NPV(parameters!M99,N179:N218)</f>
        <v>7443.3090711254072</v>
      </c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91"/>
      <c r="AA221" s="91"/>
      <c r="AB221" s="91"/>
      <c r="AC221" s="91"/>
      <c r="AD221" s="91"/>
      <c r="AE221" s="91"/>
      <c r="AF221" s="91"/>
      <c r="AG221" s="91"/>
      <c r="AH221" s="91"/>
      <c r="AI221" s="91"/>
      <c r="AJ221" s="91"/>
      <c r="AK221" s="91"/>
      <c r="AL221" s="91"/>
      <c r="AM221" s="91"/>
      <c r="AN221" s="91"/>
      <c r="AO221" s="91"/>
      <c r="AP221" s="91"/>
      <c r="AQ221" s="91"/>
      <c r="AR221" s="91"/>
    </row>
    <row r="223" spans="1:44">
      <c r="A223" s="81" t="s">
        <v>150</v>
      </c>
      <c r="C223" s="83" t="e">
        <f>IRR(C179:C198,0.1)</f>
        <v>#NUM!</v>
      </c>
      <c r="D223" s="83">
        <f t="shared" ref="D223:H223" si="92">IRR(D179:D198,0.1)</f>
        <v>4.7298978871638919E-2</v>
      </c>
      <c r="E223" s="83">
        <f t="shared" si="92"/>
        <v>0.1528260708070881</v>
      </c>
      <c r="F223" s="83">
        <f t="shared" si="92"/>
        <v>0.40396981138199295</v>
      </c>
      <c r="G223" s="83">
        <f t="shared" si="92"/>
        <v>0.49484155406038011</v>
      </c>
      <c r="H223" s="83">
        <f t="shared" si="92"/>
        <v>0.46083340479811863</v>
      </c>
      <c r="I223" s="83">
        <f t="shared" ref="I223:N223" si="93">IRR(I179:I198,0.1)</f>
        <v>0.28439744506725217</v>
      </c>
      <c r="J223" s="83">
        <f t="shared" si="93"/>
        <v>0.27121337898970754</v>
      </c>
      <c r="K223" s="83">
        <f t="shared" si="93"/>
        <v>0.86089878185537061</v>
      </c>
      <c r="L223" s="83">
        <f t="shared" si="93"/>
        <v>0.12175441606367787</v>
      </c>
      <c r="M223" s="83">
        <f t="shared" si="93"/>
        <v>0.20342262717317583</v>
      </c>
      <c r="N223" s="83">
        <f t="shared" si="93"/>
        <v>0.52782349268747453</v>
      </c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F223" s="83"/>
      <c r="AG223" s="83"/>
      <c r="AH223" s="83"/>
      <c r="AI223" s="83"/>
      <c r="AJ223" s="83"/>
      <c r="AK223" s="83"/>
      <c r="AL223" s="83"/>
      <c r="AM223" s="83"/>
      <c r="AN223" s="83"/>
      <c r="AO223" s="83"/>
      <c r="AP223" s="83"/>
      <c r="AQ223" s="83"/>
      <c r="AR223" s="83"/>
    </row>
    <row r="224" spans="1:44">
      <c r="A224" s="81" t="s">
        <v>151</v>
      </c>
      <c r="C224" s="91">
        <f>NPV(parameters!B8,rekensheets!C179:C198)</f>
        <v>4932.3849140831817</v>
      </c>
      <c r="D224" s="91">
        <f>NPV(parameters!C8,rekensheets!D179:D198)</f>
        <v>289.56403713747147</v>
      </c>
      <c r="E224" s="91">
        <f>NPV(parameters!D8,rekensheets!E179:E198)</f>
        <v>355.3659923747507</v>
      </c>
      <c r="F224" s="91">
        <f>NPV(parameters!E8,rekensheets!F179:F198)</f>
        <v>1519.8647123756746</v>
      </c>
      <c r="G224" s="91">
        <f>NPV(parameters!F8,rekensheets!G179:G198)</f>
        <v>2308.117077184178</v>
      </c>
      <c r="H224" s="91">
        <f>NPV(parameters!G8,rekensheets!H179:H198)</f>
        <v>1147.8492444785973</v>
      </c>
      <c r="I224" s="91">
        <f>NPV(parameters!H8,rekensheets!I179:I198)</f>
        <v>2486.0455348155806</v>
      </c>
      <c r="J224" s="91">
        <f>NPV(parameters!I8,rekensheets!J179:J198)</f>
        <v>862.20578629415263</v>
      </c>
      <c r="K224" s="91">
        <f>NPV(parameters!J8,rekensheets!K179:K198)</f>
        <v>1956.6410686820996</v>
      </c>
      <c r="L224" s="91">
        <f>NPV(parameters!K8,rekensheets!L179:L198)</f>
        <v>357.5261685009732</v>
      </c>
      <c r="M224" s="91">
        <f>NPV(parameters!L8,rekensheets!M179:M198)</f>
        <v>702.58521010436061</v>
      </c>
      <c r="N224" s="91">
        <f>NPV(parameters!M8,rekensheets!N179:N198)</f>
        <v>2412.6819143359194</v>
      </c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91"/>
      <c r="Z224" s="91"/>
      <c r="AA224" s="91"/>
      <c r="AB224" s="91"/>
      <c r="AC224" s="91"/>
      <c r="AD224" s="91"/>
      <c r="AE224" s="91"/>
      <c r="AF224" s="91"/>
      <c r="AG224" s="91"/>
      <c r="AH224" s="91"/>
      <c r="AI224" s="91"/>
      <c r="AJ224" s="91"/>
      <c r="AK224" s="91"/>
      <c r="AL224" s="91"/>
      <c r="AM224" s="91"/>
      <c r="AN224" s="91"/>
      <c r="AO224" s="91"/>
      <c r="AP224" s="91"/>
      <c r="AQ224" s="91"/>
      <c r="AR224" s="91"/>
    </row>
    <row r="230" spans="1:5">
      <c r="A230" s="81" t="s">
        <v>62</v>
      </c>
    </row>
    <row r="231" spans="1:5">
      <c r="A231" s="81" t="s">
        <v>1</v>
      </c>
    </row>
    <row r="232" spans="1:5">
      <c r="A232" s="81" t="s">
        <v>2</v>
      </c>
    </row>
    <row r="234" spans="1:5" s="89" customFormat="1" ht="92.4">
      <c r="A234" s="88" t="s">
        <v>79</v>
      </c>
      <c r="B234" s="100" t="s">
        <v>80</v>
      </c>
      <c r="C234" s="89" t="s">
        <v>51</v>
      </c>
      <c r="D234" s="89" t="s">
        <v>63</v>
      </c>
      <c r="E234" s="88" t="s">
        <v>64</v>
      </c>
    </row>
    <row r="235" spans="1:5">
      <c r="A235" s="84" t="s">
        <v>50</v>
      </c>
      <c r="B235" s="101">
        <f>SUM(C235:E235)</f>
        <v>7.4499999999999997E-2</v>
      </c>
      <c r="C235" s="81">
        <v>0.05</v>
      </c>
      <c r="D235" s="90">
        <v>1.15E-2</v>
      </c>
      <c r="E235" s="81">
        <v>1.2999999999999999E-2</v>
      </c>
    </row>
    <row r="236" spans="1:5">
      <c r="A236" s="84" t="s">
        <v>52</v>
      </c>
      <c r="B236" s="101">
        <f>SUM(C236:E236)</f>
        <v>0.11310000000000001</v>
      </c>
      <c r="C236" s="81">
        <v>0.05</v>
      </c>
      <c r="D236" s="90">
        <v>4.3099999999999999E-2</v>
      </c>
      <c r="E236" s="81">
        <v>0.02</v>
      </c>
    </row>
    <row r="237" spans="1:5">
      <c r="A237" s="84" t="s">
        <v>53</v>
      </c>
      <c r="B237" s="101">
        <f>SUM(C237:E237)</f>
        <v>0.20349999999999999</v>
      </c>
      <c r="C237" s="81">
        <v>0.05</v>
      </c>
      <c r="D237" s="90">
        <v>0.11849999999999999</v>
      </c>
      <c r="E237" s="81">
        <v>3.5000000000000003E-2</v>
      </c>
    </row>
    <row r="238" spans="1:5">
      <c r="A238" s="84" t="s">
        <v>81</v>
      </c>
      <c r="E238" s="8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"/>
  <sheetViews>
    <sheetView zoomScale="70" zoomScaleNormal="70" workbookViewId="0">
      <selection activeCell="A17" sqref="A17"/>
    </sheetView>
  </sheetViews>
  <sheetFormatPr defaultColWidth="9.109375" defaultRowHeight="13.2"/>
  <cols>
    <col min="1" max="1" width="4.88671875" style="6" bestFit="1" customWidth="1"/>
    <col min="2" max="2" width="35.44140625" style="7" customWidth="1"/>
    <col min="3" max="3" width="15.88671875" style="7" bestFit="1" customWidth="1"/>
    <col min="4" max="4" width="25" style="6" customWidth="1"/>
    <col min="5" max="5" width="25" style="7" customWidth="1"/>
    <col min="6" max="9" width="25" style="6" customWidth="1"/>
    <col min="10" max="33" width="25" style="7" customWidth="1"/>
    <col min="34" max="34" width="23.33203125" style="7" customWidth="1"/>
    <col min="35" max="37" width="13.88671875" style="7" customWidth="1"/>
    <col min="38" max="16384" width="9.109375" style="7"/>
  </cols>
  <sheetData>
    <row r="1" spans="1:37">
      <c r="B1" s="7" t="s">
        <v>97</v>
      </c>
      <c r="AE1" s="7" t="s">
        <v>96</v>
      </c>
      <c r="AF1" s="7" t="s">
        <v>96</v>
      </c>
    </row>
    <row r="2" spans="1:37" s="17" customFormat="1" ht="48.75" customHeight="1">
      <c r="A2" s="22">
        <v>1</v>
      </c>
      <c r="B2" s="16" t="s">
        <v>8</v>
      </c>
      <c r="C2" s="16" t="s">
        <v>58</v>
      </c>
      <c r="D2" s="16" t="s">
        <v>12</v>
      </c>
      <c r="E2" s="16" t="s">
        <v>13</v>
      </c>
      <c r="F2" s="16" t="s">
        <v>24</v>
      </c>
      <c r="G2" s="16" t="s">
        <v>25</v>
      </c>
      <c r="H2" s="16" t="s">
        <v>11</v>
      </c>
      <c r="I2" s="16" t="s">
        <v>15</v>
      </c>
      <c r="J2" s="16" t="s">
        <v>20</v>
      </c>
      <c r="K2" s="16" t="s">
        <v>57</v>
      </c>
      <c r="L2" s="24" t="s">
        <v>69</v>
      </c>
      <c r="M2" s="24" t="s">
        <v>70</v>
      </c>
      <c r="N2" s="24" t="s">
        <v>71</v>
      </c>
      <c r="O2" s="16" t="s">
        <v>89</v>
      </c>
      <c r="P2" s="16" t="s">
        <v>88</v>
      </c>
      <c r="Q2" s="16" t="s">
        <v>23</v>
      </c>
      <c r="R2" s="16" t="s">
        <v>29</v>
      </c>
      <c r="S2" s="16" t="s">
        <v>27</v>
      </c>
      <c r="T2" s="16" t="s">
        <v>28</v>
      </c>
      <c r="U2" s="16" t="s">
        <v>43</v>
      </c>
      <c r="V2" s="16" t="s">
        <v>44</v>
      </c>
      <c r="W2" s="16" t="s">
        <v>36</v>
      </c>
      <c r="X2" s="16" t="s">
        <v>33</v>
      </c>
      <c r="Y2" s="16" t="s">
        <v>86</v>
      </c>
      <c r="Z2" s="16" t="s">
        <v>37</v>
      </c>
      <c r="AA2" s="24" t="s">
        <v>73</v>
      </c>
      <c r="AB2" s="16" t="s">
        <v>38</v>
      </c>
      <c r="AC2" s="16" t="s">
        <v>74</v>
      </c>
      <c r="AD2" s="16" t="s">
        <v>75</v>
      </c>
      <c r="AE2" s="16" t="s">
        <v>76</v>
      </c>
      <c r="AF2" s="16" t="s">
        <v>85</v>
      </c>
      <c r="AG2" s="16" t="s">
        <v>90</v>
      </c>
      <c r="AH2" s="16" t="s">
        <v>77</v>
      </c>
      <c r="AI2" s="17" t="s">
        <v>45</v>
      </c>
      <c r="AJ2" s="17" t="s">
        <v>46</v>
      </c>
      <c r="AK2" s="17" t="s">
        <v>47</v>
      </c>
    </row>
    <row r="3" spans="1:37">
      <c r="A3" s="6">
        <v>2</v>
      </c>
      <c r="B3" s="6" t="s">
        <v>54</v>
      </c>
      <c r="C3" s="7" t="s">
        <v>59</v>
      </c>
      <c r="D3" s="6" t="s">
        <v>3</v>
      </c>
      <c r="E3" s="6" t="s">
        <v>3</v>
      </c>
      <c r="F3" s="6" t="s">
        <v>3</v>
      </c>
      <c r="G3" s="6" t="s">
        <v>3</v>
      </c>
      <c r="H3" s="6" t="s">
        <v>3</v>
      </c>
      <c r="I3" s="6" t="s">
        <v>3</v>
      </c>
      <c r="J3" s="6" t="s">
        <v>3</v>
      </c>
      <c r="K3" s="6" t="s">
        <v>3</v>
      </c>
      <c r="L3" s="23" t="s">
        <v>3</v>
      </c>
      <c r="M3" s="23" t="s">
        <v>66</v>
      </c>
      <c r="N3" s="23" t="s">
        <v>66</v>
      </c>
      <c r="O3" s="6" t="s">
        <v>3</v>
      </c>
      <c r="P3" s="6" t="s">
        <v>3</v>
      </c>
      <c r="Q3" s="6" t="s">
        <v>3</v>
      </c>
      <c r="R3" s="6" t="s">
        <v>3</v>
      </c>
      <c r="S3" s="23" t="s">
        <v>66</v>
      </c>
      <c r="T3" s="23" t="s">
        <v>66</v>
      </c>
      <c r="U3" s="7" t="s">
        <v>55</v>
      </c>
      <c r="V3" s="7" t="s">
        <v>55</v>
      </c>
      <c r="W3" s="7" t="s">
        <v>55</v>
      </c>
      <c r="X3" s="7" t="s">
        <v>55</v>
      </c>
      <c r="Y3" s="30"/>
      <c r="Z3" s="7" t="s">
        <v>55</v>
      </c>
      <c r="AA3" s="30" t="s">
        <v>55</v>
      </c>
      <c r="AB3" s="7" t="s">
        <v>55</v>
      </c>
      <c r="AC3" s="7" t="s">
        <v>55</v>
      </c>
      <c r="AD3" s="7" t="s">
        <v>55</v>
      </c>
      <c r="AE3" s="7" t="s">
        <v>55</v>
      </c>
      <c r="AF3" s="7" t="s">
        <v>55</v>
      </c>
      <c r="AG3" s="7" t="s">
        <v>55</v>
      </c>
      <c r="AH3" s="7" t="s">
        <v>55</v>
      </c>
      <c r="AI3" s="7" t="s">
        <v>56</v>
      </c>
      <c r="AJ3" s="7" t="s">
        <v>56</v>
      </c>
      <c r="AK3" s="7" t="s">
        <v>56</v>
      </c>
    </row>
    <row r="4" spans="1:37" s="40" customFormat="1" ht="114.75" customHeight="1">
      <c r="A4" s="38"/>
      <c r="B4" s="39" t="s">
        <v>83</v>
      </c>
      <c r="D4" s="38"/>
      <c r="E4" s="38"/>
      <c r="F4" s="38"/>
      <c r="G4" s="38"/>
      <c r="H4" s="38"/>
      <c r="I4" s="38"/>
      <c r="J4" s="38"/>
      <c r="K4" s="38"/>
      <c r="L4" s="41"/>
      <c r="M4" s="41"/>
      <c r="N4" s="41"/>
      <c r="O4" s="38"/>
      <c r="P4" s="38"/>
      <c r="Q4" s="38"/>
      <c r="R4" s="38"/>
      <c r="S4" s="41"/>
      <c r="T4" s="41"/>
      <c r="Y4" s="42"/>
      <c r="AA4" s="42"/>
    </row>
    <row r="5" spans="1:37" s="18" customFormat="1" ht="30.6" customHeight="1">
      <c r="A5" s="34">
        <f>A3+1</f>
        <v>3</v>
      </c>
      <c r="B5" s="35" t="s">
        <v>5</v>
      </c>
      <c r="C5" s="35" t="s">
        <v>59</v>
      </c>
      <c r="D5" s="35" t="s">
        <v>10</v>
      </c>
      <c r="E5" s="35" t="s">
        <v>10</v>
      </c>
      <c r="F5" s="35" t="s">
        <v>26</v>
      </c>
      <c r="G5" s="35" t="s">
        <v>26</v>
      </c>
      <c r="H5" s="35" t="s">
        <v>14</v>
      </c>
      <c r="I5" s="35" t="s">
        <v>16</v>
      </c>
      <c r="J5" s="35" t="s">
        <v>21</v>
      </c>
      <c r="K5" s="35" t="s">
        <v>22</v>
      </c>
      <c r="L5" s="36" t="s">
        <v>67</v>
      </c>
      <c r="M5" s="36" t="s">
        <v>68</v>
      </c>
      <c r="N5" s="36" t="s">
        <v>72</v>
      </c>
      <c r="O5" s="35" t="s">
        <v>21</v>
      </c>
      <c r="P5" s="35" t="s">
        <v>26</v>
      </c>
      <c r="Q5" s="35" t="s">
        <v>10</v>
      </c>
      <c r="R5" s="35" t="s">
        <v>10</v>
      </c>
      <c r="S5" s="35" t="s">
        <v>10</v>
      </c>
      <c r="T5" s="35" t="s">
        <v>10</v>
      </c>
      <c r="U5" s="35" t="s">
        <v>42</v>
      </c>
      <c r="V5" s="35" t="s">
        <v>78</v>
      </c>
      <c r="W5" s="35" t="s">
        <v>34</v>
      </c>
      <c r="X5" s="35" t="s">
        <v>32</v>
      </c>
      <c r="Y5" s="35" t="s">
        <v>87</v>
      </c>
      <c r="Z5" s="35" t="s">
        <v>35</v>
      </c>
      <c r="AA5" s="36" t="s">
        <v>35</v>
      </c>
      <c r="AB5" s="35" t="s">
        <v>39</v>
      </c>
      <c r="AC5" s="35" t="s">
        <v>40</v>
      </c>
      <c r="AD5" s="35" t="s">
        <v>40</v>
      </c>
      <c r="AE5" s="35" t="s">
        <v>41</v>
      </c>
      <c r="AF5" s="35" t="s">
        <v>84</v>
      </c>
      <c r="AG5" s="35" t="s">
        <v>84</v>
      </c>
      <c r="AH5" s="35"/>
    </row>
    <row r="6" spans="1:37">
      <c r="A6" s="8">
        <f t="shared" ref="A6:A12" si="0">A5+1</f>
        <v>4</v>
      </c>
      <c r="B6" s="9" t="s">
        <v>6</v>
      </c>
      <c r="C6" s="9" t="s">
        <v>7</v>
      </c>
      <c r="D6" s="10">
        <v>65</v>
      </c>
      <c r="E6" s="10">
        <v>130</v>
      </c>
      <c r="F6" s="10">
        <v>45</v>
      </c>
      <c r="G6" s="10">
        <v>90</v>
      </c>
      <c r="H6" s="10">
        <v>36</v>
      </c>
      <c r="I6" s="10">
        <v>44</v>
      </c>
      <c r="J6" s="10">
        <v>50</v>
      </c>
      <c r="K6" s="10">
        <v>13</v>
      </c>
      <c r="L6" s="25">
        <v>16</v>
      </c>
      <c r="M6" s="25">
        <v>13</v>
      </c>
      <c r="N6" s="25">
        <v>18</v>
      </c>
      <c r="O6" s="10">
        <v>25</v>
      </c>
      <c r="P6" s="10">
        <v>45</v>
      </c>
      <c r="Q6" s="10">
        <v>65</v>
      </c>
      <c r="R6" s="10">
        <v>130</v>
      </c>
      <c r="S6" s="10">
        <v>56</v>
      </c>
      <c r="T6" s="10">
        <v>112</v>
      </c>
      <c r="U6" s="10">
        <v>48</v>
      </c>
      <c r="V6" s="10">
        <v>29</v>
      </c>
      <c r="W6" s="10">
        <v>16</v>
      </c>
      <c r="X6" s="10">
        <v>25</v>
      </c>
      <c r="Y6" s="10">
        <v>35</v>
      </c>
      <c r="Z6" s="10">
        <v>10</v>
      </c>
      <c r="AA6" s="25">
        <v>10</v>
      </c>
      <c r="AB6" s="10">
        <v>23</v>
      </c>
      <c r="AC6" s="10">
        <v>7</v>
      </c>
      <c r="AD6" s="10">
        <v>7</v>
      </c>
      <c r="AE6" s="10">
        <v>40</v>
      </c>
      <c r="AF6" s="10">
        <v>7.2</v>
      </c>
      <c r="AG6" s="10">
        <v>7.2</v>
      </c>
      <c r="AH6" s="10">
        <v>4</v>
      </c>
    </row>
    <row r="7" spans="1:37">
      <c r="A7" s="8">
        <f t="shared" si="0"/>
        <v>5</v>
      </c>
      <c r="B7" s="9" t="s">
        <v>18</v>
      </c>
      <c r="C7" s="9" t="s">
        <v>17</v>
      </c>
      <c r="D7" s="14">
        <v>12000</v>
      </c>
      <c r="E7" s="14">
        <v>12000</v>
      </c>
      <c r="F7" s="14">
        <v>12000</v>
      </c>
      <c r="G7" s="14">
        <v>12000</v>
      </c>
      <c r="H7" s="14">
        <v>10000</v>
      </c>
      <c r="I7" s="14">
        <v>8000</v>
      </c>
      <c r="J7" s="14">
        <v>10000</v>
      </c>
      <c r="K7" s="14">
        <v>10000</v>
      </c>
      <c r="L7" s="26">
        <v>10000</v>
      </c>
      <c r="M7" s="26">
        <v>13000</v>
      </c>
      <c r="N7" s="26">
        <v>13000</v>
      </c>
      <c r="O7" s="14">
        <v>10000</v>
      </c>
      <c r="P7" s="14">
        <v>12000</v>
      </c>
      <c r="Q7" s="14">
        <v>12000</v>
      </c>
      <c r="R7" s="14">
        <v>12000</v>
      </c>
      <c r="S7" s="14">
        <v>17000</v>
      </c>
      <c r="T7" s="14">
        <v>17000</v>
      </c>
      <c r="U7" s="15">
        <v>50000</v>
      </c>
      <c r="V7" s="15">
        <v>50000</v>
      </c>
      <c r="W7" s="15">
        <v>50000</v>
      </c>
      <c r="X7" s="15">
        <v>50000</v>
      </c>
      <c r="Y7" s="15">
        <v>50000</v>
      </c>
      <c r="Z7" s="15">
        <v>50000</v>
      </c>
      <c r="AA7" s="31">
        <v>50000</v>
      </c>
      <c r="AB7" s="15">
        <v>50000</v>
      </c>
      <c r="AC7" s="15">
        <v>50000</v>
      </c>
      <c r="AD7" s="15">
        <v>50000</v>
      </c>
      <c r="AE7" s="15">
        <v>50000</v>
      </c>
      <c r="AF7" s="15">
        <v>50000</v>
      </c>
      <c r="AG7" s="15">
        <v>50000</v>
      </c>
      <c r="AH7" s="14">
        <v>50000</v>
      </c>
    </row>
    <row r="8" spans="1:37">
      <c r="A8" s="8">
        <f t="shared" si="0"/>
        <v>6</v>
      </c>
      <c r="B8" s="9" t="s">
        <v>19</v>
      </c>
      <c r="C8" s="9" t="s">
        <v>17</v>
      </c>
      <c r="D8" s="14">
        <v>100000</v>
      </c>
      <c r="E8" s="14">
        <v>100000</v>
      </c>
      <c r="F8" s="14">
        <v>100000</v>
      </c>
      <c r="G8" s="14">
        <v>100000</v>
      </c>
      <c r="H8" s="14">
        <v>100000</v>
      </c>
      <c r="I8" s="14">
        <v>100000</v>
      </c>
      <c r="J8" s="14">
        <v>100000</v>
      </c>
      <c r="K8" s="14">
        <v>100000</v>
      </c>
      <c r="L8" s="26">
        <v>100000</v>
      </c>
      <c r="M8" s="26">
        <v>50000</v>
      </c>
      <c r="N8" s="26">
        <v>50000</v>
      </c>
      <c r="O8" s="14">
        <v>100000</v>
      </c>
      <c r="P8" s="14">
        <v>100000</v>
      </c>
      <c r="Q8" s="14">
        <v>100000</v>
      </c>
      <c r="R8" s="14">
        <v>100000</v>
      </c>
      <c r="S8" s="14">
        <v>50000</v>
      </c>
      <c r="T8" s="14">
        <v>50000</v>
      </c>
      <c r="U8" s="15">
        <v>50000</v>
      </c>
      <c r="V8" s="15">
        <v>50000</v>
      </c>
      <c r="W8" s="15">
        <v>50000</v>
      </c>
      <c r="X8" s="15">
        <v>50000</v>
      </c>
      <c r="Y8" s="15">
        <v>50000</v>
      </c>
      <c r="Z8" s="15">
        <v>50000</v>
      </c>
      <c r="AA8" s="31">
        <v>50000</v>
      </c>
      <c r="AB8" s="15">
        <v>50000</v>
      </c>
      <c r="AC8" s="15">
        <v>50000</v>
      </c>
      <c r="AD8" s="15">
        <v>50000</v>
      </c>
      <c r="AE8" s="15">
        <v>50000</v>
      </c>
      <c r="AF8" s="15">
        <v>50000</v>
      </c>
      <c r="AG8" s="15">
        <v>50000</v>
      </c>
      <c r="AH8" s="14">
        <v>50000</v>
      </c>
    </row>
    <row r="9" spans="1:37">
      <c r="A9" s="8">
        <f t="shared" si="0"/>
        <v>7</v>
      </c>
      <c r="B9" s="9" t="s">
        <v>4</v>
      </c>
      <c r="C9" s="9" t="s">
        <v>9</v>
      </c>
      <c r="D9" s="8">
        <v>1</v>
      </c>
      <c r="E9" s="8">
        <v>2</v>
      </c>
      <c r="F9" s="8">
        <v>1</v>
      </c>
      <c r="G9" s="8">
        <v>2</v>
      </c>
      <c r="H9" s="8">
        <v>1</v>
      </c>
      <c r="I9" s="8">
        <v>1</v>
      </c>
      <c r="J9" s="8">
        <v>2</v>
      </c>
      <c r="K9" s="8">
        <v>1</v>
      </c>
      <c r="L9" s="27">
        <v>1</v>
      </c>
      <c r="M9" s="27">
        <v>1</v>
      </c>
      <c r="N9" s="27">
        <v>1</v>
      </c>
      <c r="O9" s="8">
        <v>1</v>
      </c>
      <c r="P9" s="8">
        <v>1</v>
      </c>
      <c r="Q9" s="8">
        <v>1</v>
      </c>
      <c r="R9" s="8">
        <v>2</v>
      </c>
      <c r="S9" s="8">
        <v>1</v>
      </c>
      <c r="T9" s="8">
        <v>2</v>
      </c>
      <c r="U9" s="8">
        <v>1</v>
      </c>
      <c r="V9" s="8">
        <v>1</v>
      </c>
      <c r="W9" s="8">
        <v>1</v>
      </c>
      <c r="X9" s="8">
        <v>1</v>
      </c>
      <c r="Y9" s="8">
        <v>1</v>
      </c>
      <c r="Z9" s="8">
        <v>1</v>
      </c>
      <c r="AA9" s="27">
        <v>1</v>
      </c>
      <c r="AB9" s="8">
        <v>1</v>
      </c>
      <c r="AC9" s="8">
        <v>1</v>
      </c>
      <c r="AD9" s="8">
        <v>1</v>
      </c>
      <c r="AE9" s="8">
        <v>1</v>
      </c>
      <c r="AF9" s="8">
        <v>1</v>
      </c>
      <c r="AG9" s="8">
        <v>1</v>
      </c>
      <c r="AH9" s="8">
        <v>1</v>
      </c>
    </row>
    <row r="10" spans="1:37">
      <c r="A10" s="8">
        <f t="shared" si="0"/>
        <v>8</v>
      </c>
      <c r="B10" s="9" t="s">
        <v>61</v>
      </c>
      <c r="C10" s="9" t="s">
        <v>0</v>
      </c>
      <c r="D10" s="11" t="e">
        <f>18*1.21*(1+parameters!#REF!)</f>
        <v>#REF!</v>
      </c>
      <c r="E10" s="11" t="e">
        <f>26*1.21*(1+parameters!#REF!)</f>
        <v>#REF!</v>
      </c>
      <c r="F10" s="11" t="e">
        <f>25*1.21*(1+parameters!#REF!)</f>
        <v>#REF!</v>
      </c>
      <c r="G10" s="11" t="e">
        <f>35*1.21*(1+parameters!#REF!)</f>
        <v>#REF!</v>
      </c>
      <c r="H10" s="11" t="e">
        <f>70*1.21*(1+parameters!#REF!)</f>
        <v>#REF!</v>
      </c>
      <c r="I10" s="11" t="e">
        <f>70*1.21*(1+parameters!#REF!)</f>
        <v>#REF!</v>
      </c>
      <c r="J10" s="11" t="e">
        <f>65*1.21*(1+parameters!#REF!)</f>
        <v>#REF!</v>
      </c>
      <c r="K10" s="11" t="e">
        <f>33*1.21*(1+parameters!#REF!)</f>
        <v>#REF!</v>
      </c>
      <c r="L10" s="28">
        <v>75</v>
      </c>
      <c r="M10" s="28" t="e">
        <f>43*1.21*(1+parameters!#REF!)</f>
        <v>#REF!</v>
      </c>
      <c r="N10" s="28" t="e">
        <f>65*1.21*(1+parameters!#REF!)</f>
        <v>#REF!</v>
      </c>
      <c r="O10" s="11" t="e">
        <f>100*1.21*(1+parameters!#REF!)</f>
        <v>#REF!</v>
      </c>
      <c r="P10" s="11" t="e">
        <f>100*1.21*(1+parameters!#REF!)</f>
        <v>#REF!</v>
      </c>
      <c r="Q10" s="11" t="e">
        <f>50*1.21*(1+parameters!#REF!)</f>
        <v>#REF!</v>
      </c>
      <c r="R10" s="11" t="e">
        <f>65*1.21*(1+parameters!#REF!)</f>
        <v>#REF!</v>
      </c>
      <c r="S10" s="11" t="e">
        <f>25*1.21*(1+parameters!#REF!)</f>
        <v>#REF!</v>
      </c>
      <c r="T10" s="11" t="e">
        <f>35*1.21*(1+parameters!#REF!)</f>
        <v>#REF!</v>
      </c>
      <c r="U10" s="11" t="e">
        <f>95*1.21*(1+parameters!#REF!)</f>
        <v>#REF!</v>
      </c>
      <c r="V10" s="11" t="e">
        <f>75*1.21*(1+parameters!#REF!)</f>
        <v>#REF!</v>
      </c>
      <c r="W10" s="11" t="e">
        <f>170*1.21*(1+parameters!#REF!)</f>
        <v>#REF!</v>
      </c>
      <c r="X10" s="11" t="e">
        <f>125*1.21*(1+parameters!#REF!)</f>
        <v>#REF!</v>
      </c>
      <c r="Y10" s="11" t="e">
        <f>145*1.21*(1+parameters!#REF!)</f>
        <v>#REF!</v>
      </c>
      <c r="Z10" s="11" t="e">
        <f>135*1.21*(1+parameters!#REF!)</f>
        <v>#REF!</v>
      </c>
      <c r="AA10" s="28" t="e">
        <f>88*1.21*(1+parameters!#REF!)</f>
        <v>#REF!</v>
      </c>
      <c r="AB10" s="11" t="e">
        <f>140*1.21*(1+parameters!#REF!)</f>
        <v>#REF!</v>
      </c>
      <c r="AC10" s="11">
        <v>100</v>
      </c>
      <c r="AD10" s="11" t="e">
        <f>125*1.21*(1+parameters!#REF!)</f>
        <v>#REF!</v>
      </c>
      <c r="AE10" s="11" t="e">
        <f>160*1.21*(1+parameters!#REF!)</f>
        <v>#REF!</v>
      </c>
      <c r="AF10" s="11" t="e">
        <f>90*1.21*(1+parameters!#REF!)</f>
        <v>#REF!</v>
      </c>
      <c r="AG10" s="11" t="e">
        <f>90*1.21*(1+parameters!#REF!)</f>
        <v>#REF!</v>
      </c>
      <c r="AH10" s="11">
        <v>100</v>
      </c>
    </row>
    <row r="11" spans="1:37">
      <c r="A11" s="8">
        <f t="shared" si="0"/>
        <v>9</v>
      </c>
      <c r="B11" s="9" t="s">
        <v>49</v>
      </c>
      <c r="C11" s="9" t="s">
        <v>0</v>
      </c>
      <c r="D11" s="11" t="e">
        <f>2.7*1.21*(1+parameters!#REF!)</f>
        <v>#REF!</v>
      </c>
      <c r="E11" s="11" t="e">
        <f>2.7*1.21*(1+parameters!#REF!)</f>
        <v>#REF!</v>
      </c>
      <c r="F11" s="11" t="e">
        <f>2.7*1.21*(1+parameters!#REF!)</f>
        <v>#REF!</v>
      </c>
      <c r="G11" s="11" t="e">
        <f>2.7*1.21*(1+parameters!#REF!)</f>
        <v>#REF!</v>
      </c>
      <c r="H11" s="11" t="e">
        <f>3.7*1.21*(1+parameters!#REF!)</f>
        <v>#REF!</v>
      </c>
      <c r="I11" s="11" t="e">
        <f>23*1.21*(1+parameters!#REF!)</f>
        <v>#REF!</v>
      </c>
      <c r="J11" s="11" t="e">
        <f>3.7*1.21*(1+parameters!#REF!)</f>
        <v>#REF!</v>
      </c>
      <c r="K11" s="11" t="e">
        <f>2.5*1.21*(1+parameters!#REF!)</f>
        <v>#REF!</v>
      </c>
      <c r="L11" s="28" t="e">
        <f>2.1*1.21*(1+parameters!#REF!)</f>
        <v>#REF!</v>
      </c>
      <c r="M11" s="28" t="e">
        <f>2.1*1.21*(1+parameters!#REF!)</f>
        <v>#REF!</v>
      </c>
      <c r="N11" s="28" t="e">
        <f>6.6*1.21*(1+parameters!#REF!)</f>
        <v>#REF!</v>
      </c>
      <c r="O11" s="11" t="e">
        <f>3.7*1.21*(1+parameters!#REF!)</f>
        <v>#REF!</v>
      </c>
      <c r="P11" s="11" t="e">
        <f>2.7*1.21*(1+parameters!#REF!)</f>
        <v>#REF!</v>
      </c>
      <c r="Q11" s="11" t="e">
        <f>2.7*1.21*(1+parameters!#REF!)</f>
        <v>#REF!</v>
      </c>
      <c r="R11" s="11" t="e">
        <f>2.7*1.21*(1+parameters!#REF!)</f>
        <v>#REF!</v>
      </c>
      <c r="S11" s="11" t="e">
        <f>2.7*1.21*(1+parameters!#REF!)</f>
        <v>#REF!</v>
      </c>
      <c r="T11" s="11" t="e">
        <f>2.7*1.21*(1+parameters!#REF!)</f>
        <v>#REF!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32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11">
        <v>0</v>
      </c>
    </row>
    <row r="12" spans="1:37">
      <c r="A12" s="8">
        <f t="shared" si="0"/>
        <v>10</v>
      </c>
      <c r="B12" s="9" t="s">
        <v>48</v>
      </c>
      <c r="C12" s="9" t="s">
        <v>0</v>
      </c>
      <c r="D12" s="11">
        <f>0.7*1.21</f>
        <v>0.84699999999999998</v>
      </c>
      <c r="E12" s="11">
        <f>0.7*1.21</f>
        <v>0.84699999999999998</v>
      </c>
      <c r="F12" s="11">
        <f>0.7*1.21</f>
        <v>0.84699999999999998</v>
      </c>
      <c r="G12" s="11">
        <f>0.7*1.21</f>
        <v>0.84699999999999998</v>
      </c>
      <c r="H12" s="11">
        <v>0</v>
      </c>
      <c r="I12" s="11">
        <v>0</v>
      </c>
      <c r="J12" s="11">
        <v>0</v>
      </c>
      <c r="K12" s="11">
        <v>0</v>
      </c>
      <c r="L12" s="28">
        <v>0</v>
      </c>
      <c r="M12" s="28">
        <v>0</v>
      </c>
      <c r="N12" s="28">
        <v>0</v>
      </c>
      <c r="O12" s="11">
        <v>0</v>
      </c>
      <c r="P12" s="11">
        <f>0.7*1.21</f>
        <v>0.84699999999999998</v>
      </c>
      <c r="Q12" s="11">
        <f>0.7*1.21</f>
        <v>0.84699999999999998</v>
      </c>
      <c r="R12" s="11">
        <f>0.7*1.21</f>
        <v>0.84699999999999998</v>
      </c>
      <c r="S12" s="11">
        <f>0.7*1.21</f>
        <v>0.84699999999999998</v>
      </c>
      <c r="T12" s="11">
        <f>0.7*1.21</f>
        <v>0.84699999999999998</v>
      </c>
      <c r="U12" s="37">
        <v>15</v>
      </c>
      <c r="V12" s="37">
        <v>15</v>
      </c>
      <c r="W12" s="37">
        <v>15</v>
      </c>
      <c r="X12" s="37">
        <v>15</v>
      </c>
      <c r="Y12" s="37"/>
      <c r="Z12" s="37">
        <v>15</v>
      </c>
      <c r="AA12" s="37">
        <v>15</v>
      </c>
      <c r="AB12" s="37">
        <v>10</v>
      </c>
      <c r="AC12" s="37">
        <v>10</v>
      </c>
      <c r="AD12" s="37">
        <v>10</v>
      </c>
      <c r="AE12" s="37">
        <v>10</v>
      </c>
      <c r="AF12" s="37"/>
      <c r="AG12" s="37"/>
      <c r="AH12" s="13"/>
    </row>
    <row r="13" spans="1:37" s="43" customFormat="1">
      <c r="A13" s="46"/>
      <c r="B13" s="47" t="s">
        <v>82</v>
      </c>
      <c r="C13" s="47" t="s">
        <v>30</v>
      </c>
      <c r="D13" s="50"/>
      <c r="E13" s="50"/>
      <c r="F13" s="50"/>
      <c r="G13" s="50"/>
      <c r="H13" s="50"/>
      <c r="I13" s="50"/>
      <c r="J13" s="50"/>
      <c r="K13" s="50"/>
      <c r="L13" s="51"/>
      <c r="M13" s="51"/>
      <c r="N13" s="51"/>
      <c r="O13" s="50"/>
      <c r="P13" s="50"/>
      <c r="Q13" s="50"/>
      <c r="R13" s="50"/>
      <c r="S13" s="50"/>
      <c r="T13" s="50"/>
      <c r="U13" s="48">
        <v>15</v>
      </c>
      <c r="V13" s="48">
        <v>15</v>
      </c>
      <c r="W13" s="48">
        <v>15</v>
      </c>
      <c r="X13" s="48">
        <v>15</v>
      </c>
      <c r="Y13" s="48">
        <v>15</v>
      </c>
      <c r="Z13" s="48">
        <v>15</v>
      </c>
      <c r="AA13" s="49">
        <v>15</v>
      </c>
      <c r="AB13" s="48">
        <v>30</v>
      </c>
      <c r="AC13" s="48">
        <v>20</v>
      </c>
      <c r="AD13" s="48">
        <v>20</v>
      </c>
      <c r="AE13" s="48">
        <v>20</v>
      </c>
      <c r="AF13" s="48">
        <v>15</v>
      </c>
      <c r="AG13" s="48">
        <v>15</v>
      </c>
      <c r="AH13" s="48"/>
    </row>
    <row r="14" spans="1:37" ht="14.25" customHeight="1">
      <c r="A14" s="8">
        <f>A12+1</f>
        <v>11</v>
      </c>
      <c r="B14" s="12" t="s">
        <v>31</v>
      </c>
      <c r="C14" s="9" t="s">
        <v>30</v>
      </c>
      <c r="D14" s="13">
        <v>5</v>
      </c>
      <c r="E14" s="13">
        <v>8</v>
      </c>
      <c r="F14" s="13">
        <v>5</v>
      </c>
      <c r="G14" s="13">
        <v>8</v>
      </c>
      <c r="H14" s="13">
        <v>12</v>
      </c>
      <c r="I14" s="13">
        <v>12</v>
      </c>
      <c r="J14" s="13">
        <v>8</v>
      </c>
      <c r="K14" s="13">
        <v>12</v>
      </c>
      <c r="L14" s="29">
        <v>12</v>
      </c>
      <c r="M14" s="29">
        <v>12</v>
      </c>
      <c r="N14" s="29">
        <v>12</v>
      </c>
      <c r="O14" s="13">
        <v>8</v>
      </c>
      <c r="P14" s="13">
        <v>12</v>
      </c>
      <c r="Q14" s="13">
        <v>15</v>
      </c>
      <c r="R14" s="13">
        <v>18</v>
      </c>
      <c r="S14" s="13">
        <v>5</v>
      </c>
      <c r="T14" s="13">
        <v>8</v>
      </c>
      <c r="U14" s="13">
        <v>15</v>
      </c>
      <c r="V14" s="13">
        <v>15</v>
      </c>
      <c r="W14" s="13">
        <v>15</v>
      </c>
      <c r="X14" s="13">
        <v>15</v>
      </c>
      <c r="Y14" s="13">
        <v>15</v>
      </c>
      <c r="Z14" s="13">
        <v>15</v>
      </c>
      <c r="AA14" s="29">
        <v>15</v>
      </c>
      <c r="AB14" s="13">
        <v>30</v>
      </c>
      <c r="AC14" s="13">
        <v>15</v>
      </c>
      <c r="AD14" s="13">
        <v>15</v>
      </c>
      <c r="AE14" s="13">
        <v>15</v>
      </c>
      <c r="AF14" s="13">
        <v>15</v>
      </c>
      <c r="AG14" s="13">
        <v>15</v>
      </c>
      <c r="AH14" s="13"/>
    </row>
    <row r="15" spans="1:37" s="43" customFormat="1">
      <c r="A15" s="46"/>
      <c r="B15" s="47" t="s">
        <v>91</v>
      </c>
      <c r="C15" s="47"/>
      <c r="D15" s="46">
        <v>1</v>
      </c>
      <c r="E15" s="46">
        <v>2</v>
      </c>
      <c r="F15" s="46">
        <v>3</v>
      </c>
      <c r="G15" s="46">
        <v>4</v>
      </c>
      <c r="H15" s="46">
        <v>5</v>
      </c>
      <c r="I15" s="46">
        <v>6</v>
      </c>
      <c r="J15" s="46">
        <v>7</v>
      </c>
      <c r="K15" s="46">
        <v>8</v>
      </c>
      <c r="L15" s="46">
        <v>9</v>
      </c>
      <c r="M15" s="46">
        <v>10</v>
      </c>
      <c r="N15" s="46"/>
      <c r="O15" s="46">
        <v>11</v>
      </c>
      <c r="P15" s="46">
        <v>12</v>
      </c>
      <c r="Q15" s="46">
        <v>13</v>
      </c>
      <c r="R15" s="46">
        <v>14</v>
      </c>
      <c r="S15" s="46">
        <v>15</v>
      </c>
      <c r="T15" s="46">
        <v>16</v>
      </c>
      <c r="U15" s="46">
        <v>17</v>
      </c>
      <c r="V15" s="46">
        <v>18</v>
      </c>
      <c r="W15" s="46">
        <v>19</v>
      </c>
      <c r="X15" s="46">
        <v>20</v>
      </c>
      <c r="Y15" s="46">
        <v>21</v>
      </c>
      <c r="Z15" s="46">
        <v>22</v>
      </c>
      <c r="AA15" s="46">
        <v>23</v>
      </c>
      <c r="AB15" s="46">
        <v>24</v>
      </c>
      <c r="AC15" s="46">
        <v>25</v>
      </c>
      <c r="AD15" s="46">
        <v>26</v>
      </c>
      <c r="AE15" s="46">
        <v>27</v>
      </c>
      <c r="AF15" s="46">
        <v>28</v>
      </c>
      <c r="AG15" s="46">
        <v>29</v>
      </c>
      <c r="AH15" s="47"/>
    </row>
    <row r="16" spans="1:37" s="43" customFormat="1">
      <c r="A16" s="46"/>
      <c r="B16" s="47" t="s">
        <v>92</v>
      </c>
      <c r="C16" s="47"/>
      <c r="D16" s="46">
        <v>17</v>
      </c>
      <c r="E16" s="46"/>
      <c r="F16" s="46">
        <v>18</v>
      </c>
      <c r="G16" s="46"/>
      <c r="H16" s="46" t="s">
        <v>93</v>
      </c>
      <c r="I16" s="46">
        <v>20</v>
      </c>
      <c r="J16" s="46">
        <v>24</v>
      </c>
      <c r="K16" s="46" t="s">
        <v>95</v>
      </c>
      <c r="L16" s="46" t="s">
        <v>94</v>
      </c>
      <c r="M16" s="46" t="s">
        <v>94</v>
      </c>
      <c r="N16" s="46"/>
      <c r="O16" s="46">
        <v>29</v>
      </c>
      <c r="P16" s="46">
        <v>21</v>
      </c>
      <c r="Q16" s="46">
        <v>27</v>
      </c>
      <c r="R16" s="46"/>
      <c r="S16" s="46">
        <v>17</v>
      </c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</row>
    <row r="17" spans="1:27">
      <c r="A17" s="7" t="s">
        <v>60</v>
      </c>
    </row>
    <row r="18" spans="1:27">
      <c r="U18" s="21" t="s">
        <v>65</v>
      </c>
      <c r="V18" s="21"/>
      <c r="W18" s="21"/>
      <c r="X18" s="21"/>
      <c r="Y18" s="45"/>
      <c r="Z18" s="21"/>
      <c r="AA18" s="21"/>
    </row>
    <row r="19" spans="1:27" s="45" customFormat="1">
      <c r="A19" s="44"/>
      <c r="D19" s="44"/>
      <c r="F19" s="44"/>
      <c r="G19" s="44"/>
      <c r="H19" s="44"/>
      <c r="I19" s="4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businessmodel</vt:lpstr>
      <vt:lpstr>parameters</vt:lpstr>
      <vt:lpstr>rekensheets</vt:lpstr>
      <vt:lpstr>Soort armatuur</vt:lpstr>
    </vt:vector>
  </TitlesOfParts>
  <Company>Woonstad Rotterdam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Rekenmodel pilot led-verlichting, jaar 2012</dc:title>
  <dc:creator>M.Oomen</dc:creator>
  <cp:lastModifiedBy>Maarten Corpeleijn</cp:lastModifiedBy>
  <cp:lastPrinted>2014-05-05T14:18:19Z</cp:lastPrinted>
  <dcterms:created xsi:type="dcterms:W3CDTF">2009-10-06T08:49:54Z</dcterms:created>
  <dcterms:modified xsi:type="dcterms:W3CDTF">2014-11-10T15:51:36Z</dcterms:modified>
</cp:coreProperties>
</file>